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8640" activeTab="1"/>
  </bookViews>
  <sheets>
    <sheet name="Титульний лист 2022" sheetId="1" r:id="rId1"/>
    <sheet name="І Фін результат КНП (2022)" sheetId="2" r:id="rId2"/>
    <sheet name="ІІ Розр з бюджетом КНП 2021" sheetId="3" state="hidden" r:id="rId3"/>
    <sheet name="ІІ Розр з бюджетом КНП 2022" sheetId="4" r:id="rId4"/>
    <sheet name="ІІІ Рух грошових коштів 2022" sheetId="5" r:id="rId5"/>
    <sheet name="ІV Кап інвестиції КНП 2022" sheetId="6" r:id="rId6"/>
    <sheet name="V ОП КНП СМСЧ (+сф) 2022" sheetId="7" r:id="rId7"/>
    <sheet name="V ОП КНП СМСЧ 2020" sheetId="8" state="hidden" r:id="rId8"/>
  </sheets>
  <definedNames>
    <definedName name="_xlnm.Print_Area" localSheetId="6">'V ОП КНП СМСЧ (+сф) 2022'!$A$1:$D$32</definedName>
    <definedName name="_xlnm.Print_Area" localSheetId="2">'ІІ Розр з бюджетом КНП 2021'!$A$1:$I$58</definedName>
    <definedName name="_xlnm.Print_Area" localSheetId="3">'ІІ Розр з бюджетом КНП 2022'!$A$1:$I$48</definedName>
  </definedNames>
  <calcPr fullCalcOnLoad="1"/>
</workbook>
</file>

<file path=xl/sharedStrings.xml><?xml version="1.0" encoding="utf-8"?>
<sst xmlns="http://schemas.openxmlformats.org/spreadsheetml/2006/main" count="565" uniqueCount="357">
  <si>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</si>
  <si>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</si>
  <si>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</si>
  <si>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</si>
  <si>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</si>
  <si>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</si>
  <si>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</si>
  <si>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</si>
  <si>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</si>
  <si>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</si>
  <si>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</si>
  <si>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</si>
  <si>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</si>
  <si>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</si>
  <si>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</si>
  <si>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</si>
  <si>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</si>
  <si>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</si>
  <si>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</si>
  <si>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</si>
  <si>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</si>
  <si>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</si>
  <si>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</si>
  <si>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</si>
  <si>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</si>
  <si>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</si>
  <si>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</si>
  <si>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</si>
  <si>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</si>
  <si>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</si>
  <si>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</si>
  <si>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</si>
  <si>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</si>
  <si>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</si>
  <si>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</si>
  <si>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</si>
  <si>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</si>
  <si>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</si>
  <si>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</si>
  <si>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</si>
  <si>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</si>
  <si>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</si>
  <si>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</si>
  <si>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</si>
  <si>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</si>
  <si>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</si>
  <si>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</si>
  <si>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</si>
  <si>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</si>
  <si>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</si>
  <si>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</si>
  <si>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</si>
  <si>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</si>
  <si>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</si>
  <si>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</si>
  <si>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</si>
  <si>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</si>
  <si>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</si>
  <si>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</si>
  <si>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</si>
  <si>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</si>
  <si>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</si>
  <si>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</si>
  <si>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</si>
  <si>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</si>
  <si>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</si>
  <si>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</si>
  <si>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</si>
  <si>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</si>
  <si>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</si>
  <si>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</si>
  <si>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</si>
  <si>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</si>
  <si>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</si>
  <si>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</si>
  <si>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</si>
  <si>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</si>
  <si>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</si>
  <si>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</si>
  <si>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</si>
  <si>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</si>
  <si>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</si>
  <si>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</si>
  <si>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</si>
  <si>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</si>
  <si>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</si>
  <si>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</si>
  <si>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</si>
  <si>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</si>
  <si>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</si>
  <si>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</si>
  <si>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</si>
  <si>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</si>
  <si>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</si>
  <si>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</si>
  <si>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</si>
  <si>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</si>
  <si>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</si>
  <si>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</si>
  <si>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</si>
  <si>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</si>
  <si>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</si>
  <si>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</si>
  <si>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</si>
  <si>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</si>
  <si>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</si>
  <si>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</si>
  <si>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</si>
  <si>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</si>
  <si>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</si>
  <si>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</si>
  <si>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</si>
  <si>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</si>
  <si>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</si>
  <si>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</si>
  <si>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</si>
  <si>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</si>
  <si>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</si>
  <si>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</si>
  <si>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</si>
  <si>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</si>
  <si>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</si>
  <si>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</si>
  <si>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</si>
  <si>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</si>
  <si>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</si>
  <si>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</si>
  <si>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</si>
  <si>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</si>
  <si>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</si>
  <si>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</si>
  <si>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</si>
  <si>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</si>
  <si>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</si>
  <si>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</si>
  <si>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</si>
  <si>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</si>
  <si>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</si>
  <si>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</si>
  <si>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</si>
  <si>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</si>
  <si>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</si>
  <si>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</si>
  <si>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</si>
  <si>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</si>
  <si>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</si>
  <si>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</si>
  <si>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</si>
  <si>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</si>
  <si>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</si>
  <si>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</si>
  <si>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</si>
  <si>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</si>
  <si>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</si>
  <si>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</si>
  <si>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</si>
  <si>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</si>
  <si>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</si>
  <si>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</si>
  <si>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</si>
  <si>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</si>
  <si>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</si>
  <si>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</si>
  <si>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</si>
  <si>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</si>
  <si>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</si>
  <si>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</si>
  <si>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</si>
  <si>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</si>
  <si>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</si>
  <si>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</si>
  <si>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</si>
  <si>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</si>
  <si>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</si>
  <si>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</si>
  <si>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</si>
  <si>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</si>
  <si>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</si>
  <si>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</si>
  <si>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</si>
  <si>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</si>
  <si>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</si>
  <si>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вул. Лісова ,1</t>
  </si>
  <si>
    <t>1000/1</t>
  </si>
  <si>
    <t>1000/2</t>
  </si>
  <si>
    <t>1000/3</t>
  </si>
  <si>
    <t>1000/4</t>
  </si>
  <si>
    <t>1051/1</t>
  </si>
  <si>
    <t>1051/2</t>
  </si>
  <si>
    <t>1051/3</t>
  </si>
  <si>
    <t>Комунальна</t>
  </si>
  <si>
    <t>3060/1</t>
  </si>
  <si>
    <t>3060/2</t>
  </si>
  <si>
    <t>3060/3</t>
  </si>
  <si>
    <t>___.___.______</t>
  </si>
  <si>
    <t>№ ___/_______</t>
  </si>
  <si>
    <t>Інші надходження, у тому числі:</t>
  </si>
  <si>
    <t>інші обов’язкові платежі, у т. ч.:</t>
  </si>
  <si>
    <t>Кошти отримані від плати за послуги (медогляди)</t>
  </si>
  <si>
    <t>Кошти отримані від оренди майна</t>
  </si>
  <si>
    <t>Кошти отримані від реалізації майна</t>
  </si>
  <si>
    <t>Витрати за  цільовими програмами (інсулін)</t>
  </si>
  <si>
    <t>Дохід з місцевого бюджету (на заходи оздоровлення)</t>
  </si>
  <si>
    <t>Витрати на заходи оздоровлення  (придбання путівок на оздоровлення дітей)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</si>
  <si>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</si>
  <si>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</si>
  <si>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</si>
  <si>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оплата послуг (крім комунальних)</t>
  </si>
  <si>
    <t>Інші доходи (придбання обладнання і предметів довгострокового користування)</t>
  </si>
  <si>
    <t>адміністративні послуги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</si>
  <si>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</si>
  <si>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 xml:space="preserve">Витрати на відрядні та на підвищення кваліфікації та перепідготовку кадрів </t>
  </si>
  <si>
    <t>медикаменти та перев'язувальні матеріали, медичне обладнання</t>
  </si>
  <si>
    <t>витрати на паливо та енергію (комунальні послуги)</t>
  </si>
  <si>
    <t>1150/1</t>
  </si>
  <si>
    <t>1150/6</t>
  </si>
  <si>
    <t>1150/3</t>
  </si>
  <si>
    <t>1150/2</t>
  </si>
  <si>
    <t>1150/4</t>
  </si>
  <si>
    <t>1150/5</t>
  </si>
  <si>
    <t>1160/1</t>
  </si>
  <si>
    <t>1160/3</t>
  </si>
  <si>
    <t>1160/8</t>
  </si>
  <si>
    <t>1160/5</t>
  </si>
  <si>
    <t>1160/6</t>
  </si>
  <si>
    <t>1160/9</t>
  </si>
  <si>
    <t>1160/2</t>
  </si>
  <si>
    <t>1160/4</t>
  </si>
  <si>
    <t>1160/7</t>
  </si>
  <si>
    <t>1160/10</t>
  </si>
  <si>
    <t>1160/11</t>
  </si>
  <si>
    <t>1160/12</t>
  </si>
  <si>
    <t>1018/1</t>
  </si>
  <si>
    <t>1018/2</t>
  </si>
  <si>
    <t>Головний бухгалтер</t>
  </si>
  <si>
    <t>сплата податків: земельний податок</t>
  </si>
  <si>
    <t>Комунальне некомерційне підприємство Нетішинської  міської ради "Спеціалізована медико-санітарна частина м.Нетішин"</t>
  </si>
  <si>
    <t>2142/1</t>
  </si>
  <si>
    <t>2142/2</t>
  </si>
  <si>
    <t>штраф: ПДВ   (згідно рішення № 0036715505 від 29.12.2018 року)</t>
  </si>
  <si>
    <t>пеня: земельний податок згідно уточненої декларації № 9311219516 від 01.03.2019 року</t>
  </si>
  <si>
    <t>3170/1</t>
  </si>
  <si>
    <t>3170/2</t>
  </si>
  <si>
    <t>11784,54*50%*12+11784,54премія до дня медика+11784,54премія за рік=235690,8</t>
  </si>
  <si>
    <t>499,5 з/ф + с/ф+з/пункт+цеховы терапевти?????</t>
  </si>
  <si>
    <t>Дохід від депозитних коштів на рахунках в банках</t>
  </si>
  <si>
    <t>1150/7</t>
  </si>
  <si>
    <t>військовий збір  1,5%</t>
  </si>
  <si>
    <t>Заступник директора з економічних питань</t>
  </si>
  <si>
    <t>В.Н.Пословський</t>
  </si>
  <si>
    <t>В.В.Парахіна</t>
  </si>
  <si>
    <t>____________________</t>
  </si>
  <si>
    <t>___________________</t>
  </si>
  <si>
    <t>________________</t>
  </si>
  <si>
    <t>86.10                   86.22                   86.23</t>
  </si>
  <si>
    <t>Головний бухгалтер______</t>
  </si>
  <si>
    <t>СТАРА (Кількість штатних одиниць по загальному фонду)</t>
  </si>
  <si>
    <t>Директор _______________</t>
  </si>
  <si>
    <t>Директор</t>
  </si>
  <si>
    <t>Дохід з місцевого бюджету за  цільовими програмами (інсулін)</t>
  </si>
  <si>
    <t xml:space="preserve">Директор </t>
  </si>
  <si>
    <r>
      <t xml:space="preserve">Директор </t>
    </r>
    <r>
      <rPr>
        <sz val="11"/>
        <rFont val="Times New Roman"/>
        <family val="1"/>
      </rPr>
      <t>________________</t>
    </r>
  </si>
  <si>
    <t>Інші операційні доходи (кошти від НСЗУ)</t>
  </si>
  <si>
    <t>Дохід з місцевого бюджету (медична субвенція)</t>
  </si>
  <si>
    <t>Н.В.Зінчук</t>
  </si>
  <si>
    <t>Василь ПОСЛОВСЬКИЙ</t>
  </si>
  <si>
    <t>Інші операційні доходи (кошти отримані від надання медичних послуг за темою "Медико-санітарне обслуговування" в здоровпункті ВП ХАЕС та цехові терапевти)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</si>
  <si>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обслуговуванням)</t>
  </si>
  <si>
    <t>Централізоване постачання (медикаменти, "Пакунки малюка", інші матеріали)</t>
  </si>
  <si>
    <t>Кошти отримані від благодійних внесків</t>
  </si>
  <si>
    <t>1000/5</t>
  </si>
  <si>
    <t>предмети, матеріали, обладнання та інвентар (витрати пов'язані з утриманням приміщень; придбання канцелярських товарів;  реєстраційних журналів; бланкова продукція; комп'ютерне обладнання; придбання мийних засобів та інші)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</si>
  <si>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</si>
  <si>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Витрати, що здійснюються для підтримання об’єкта в робочому стані (предмети і матеріали проведення ремонту, технічного огляду, нагляду, обслуговування тощо, оплата послуг (крім комунальних))</t>
  </si>
  <si>
    <t>соціальне забезпечення              (пільгові пенсії)</t>
  </si>
  <si>
    <t>1000/6</t>
  </si>
  <si>
    <t>1160/13</t>
  </si>
  <si>
    <t>плата за отримання ліцензії медичної практики</t>
  </si>
  <si>
    <t>Кошти отримані від орендарів на відшкодування земельного податку</t>
  </si>
  <si>
    <t>3060/5</t>
  </si>
  <si>
    <t>3060/6</t>
  </si>
  <si>
    <t>3060/7</t>
  </si>
  <si>
    <t>Кошти отримані від Фонду соціального страхування з тимчасової втрати непрацездатності</t>
  </si>
  <si>
    <t>Дохід від цільового фінансування оплачуваних додаткових відпусток відповідно до Закону України "Про статус і соціальний захист громадян, які постраждали внаслідок Чорнобильсбкої катастрофи" від 28.02.91 р. № 796-ХІІ</t>
  </si>
  <si>
    <t>військовий збір</t>
  </si>
  <si>
    <t>3144/2</t>
  </si>
  <si>
    <t>3144/3</t>
  </si>
  <si>
    <t>3170/3</t>
  </si>
  <si>
    <t>3170/4</t>
  </si>
  <si>
    <t>Витрати на виплату матеріального забезпечення  від Фонду соціального страхування з тимчасової втрати непрацездатності</t>
  </si>
  <si>
    <t xml:space="preserve">Інші витрати </t>
  </si>
  <si>
    <t>3170/5</t>
  </si>
  <si>
    <t>3060/8</t>
  </si>
  <si>
    <t xml:space="preserve">єдиний внесок на загальнообов'язкове державне соціальне страхування    </t>
  </si>
  <si>
    <t>податок на додану вартість від операційної діяльності</t>
  </si>
  <si>
    <t>земельний податок від операційної діяльності</t>
  </si>
  <si>
    <r>
      <t>амортизація основних засобів і нематеріальних активів</t>
    </r>
    <r>
      <rPr>
        <b/>
        <sz val="12"/>
        <rFont val="Times New Roman"/>
        <family val="1"/>
      </rPr>
      <t xml:space="preserve"> загальногосподарського призначення</t>
    </r>
  </si>
  <si>
    <t>Валентина ПАРАХІНА</t>
  </si>
  <si>
    <t>Ніна ЗІНЧУК</t>
  </si>
  <si>
    <t>(посада)</t>
  </si>
  <si>
    <t>Заступник директора  з економічних питань</t>
  </si>
  <si>
    <t>ФІНАНСОВИЙ ПЛАН ПІДПРИЄМСТВА НА  2022  рік</t>
  </si>
  <si>
    <t>Кошти отримані від благодійних внесків в натуральній формі (вироби медичного призначення, медичне обладнання довгострокового користування)</t>
  </si>
  <si>
    <t>Витрати від благодійної допомоги в натуральній формі</t>
  </si>
  <si>
    <t>інші податки, збори та платежі (військовий збір  1,5%)</t>
  </si>
  <si>
    <t>Дохід з державного бюджету місцевим бюджетам на забезпечення здійснення деяких заходів, спрямованих на запобігання винекненню та поширення, локалізацію та ліквідацію спалахів,епідемії гострої респіраторної хвороби COVID-19</t>
  </si>
  <si>
    <t>Виплати на виплату матеріального забезпечення  від Фонду соціального страхування з тимчасової втрати працездатності</t>
  </si>
  <si>
    <t xml:space="preserve">Витрати від цільового фінансування оплачуваних додаткових відпусток відповідно до Закону України «Про статус і соціальний захист громадян, які постраждали внаслідок Чорнобильської катастрофи» від 28.02.91 р. № 796-ХII </t>
  </si>
  <si>
    <t>Витрати за цільовим призначенням з державного бюджету місцевим бюджетам на забезпечення здійснення деяких заходів, спрямованих на запобігання винекненню та поширення, локалізацію та ліквідацію спалахів,епідемії гострої респіраторної хвороби COVID-19</t>
  </si>
  <si>
    <t>Надходження  від  фонду  соцстрахування ( лікаряняні за  рахунок ФСС)</t>
  </si>
  <si>
    <t>Інші витрати (капітальні видатки), в т.ч. цифровий флюрогаф, цифровий мамограф, УЗД апарат, пожежна сигналізація та інше обладнання</t>
  </si>
  <si>
    <r>
      <t>амортизація основних засобів і нематеріальних активів</t>
    </r>
    <r>
      <rPr>
        <b/>
        <sz val="12"/>
        <rFont val="Times New Roman"/>
        <family val="1"/>
      </rPr>
      <t xml:space="preserve"> адміністративного призначення</t>
    </r>
  </si>
  <si>
    <t>Інші витрати (відрядні, навчання персоналу, придбання предметів і матералів)</t>
  </si>
  <si>
    <t>1018/3</t>
  </si>
  <si>
    <t>оплата послуг (крім комунальних), а саме: ремонт комп'ютерної техніки (в т.ч. заправка картриджів), електронні підписи, послуги з охорони, видавничі, банківські, поштові послуги, послуги з перереєстрації автомобілів, довідки, витяги, обслуговування програм та інші</t>
  </si>
  <si>
    <t>1070/1</t>
  </si>
  <si>
    <t>1080/1</t>
  </si>
  <si>
    <t>Капітальні видатки від суми доходу власних надходжень</t>
  </si>
  <si>
    <t>1080/2</t>
  </si>
  <si>
    <t xml:space="preserve">Дохід від цільового фінансування оплачуваних додаткових відпусток відповідно до Закону України «Про статус і соціальний захист громадян, які постраждали внаслідок Чорнобильської катастрофи» від 28.02.91 р.                № 796-ХII </t>
  </si>
  <si>
    <t>1150/8</t>
  </si>
  <si>
    <t>1150/9</t>
  </si>
  <si>
    <t>1150/10</t>
  </si>
  <si>
    <t>1160/14</t>
  </si>
  <si>
    <t>1160/15</t>
  </si>
  <si>
    <t>1160/16</t>
  </si>
  <si>
    <t xml:space="preserve"> (посада)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</si>
  <si>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</si>
  <si>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</si>
  <si>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</si>
  <si>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</si>
  <si>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>Кошти отримані від благодійних внесків в натуральній формі  (вироби медичного призначення, медичне обладнання довгострокового користування)</t>
  </si>
  <si>
    <t>Дохід з місцевого бюджету по Комплексні Програмі розвитку та підтримки комунальних підприємств охорони здоров’я Нетішинської міської ТГ і надання медичних послуг  на 2021-2024 роки</t>
  </si>
  <si>
    <t>3060/9</t>
  </si>
  <si>
    <t>3060/10</t>
  </si>
  <si>
    <t>3060/11</t>
  </si>
  <si>
    <r>
      <t>Інші надходження (розшифрувати)</t>
    </r>
    <r>
      <rPr>
        <b/>
        <i/>
        <sz val="11"/>
        <rFont val="Times New Roman"/>
        <family val="1"/>
      </rPr>
      <t xml:space="preserve"> </t>
    </r>
  </si>
  <si>
    <t>3070/1</t>
  </si>
  <si>
    <t>3070/2</t>
  </si>
  <si>
    <t>3070/3</t>
  </si>
  <si>
    <t>3070/4</t>
  </si>
  <si>
    <t>3070/5</t>
  </si>
  <si>
    <t>3070/6</t>
  </si>
  <si>
    <t>3070/7</t>
  </si>
  <si>
    <t>3070/8</t>
  </si>
  <si>
    <t>3070/9</t>
  </si>
  <si>
    <t>3070/10</t>
  </si>
  <si>
    <t>Факт минулого року 2020 року</t>
  </si>
  <si>
    <t xml:space="preserve">Фінансовий план поточного 2021 року  </t>
  </si>
  <si>
    <t>Плановий рік (усього) 2022 рік</t>
  </si>
  <si>
    <t>Факт минулого 2020 року</t>
  </si>
  <si>
    <t>Фінансовий план поточного 2021 року</t>
  </si>
  <si>
    <t>Плановий рік (усього) 2022 року</t>
  </si>
  <si>
    <t>Фінансовий план
поточного 2021 року</t>
  </si>
  <si>
    <t>Плановий                              2022 рік</t>
  </si>
  <si>
    <t>Дохід з місцевого бюджету по Комплексній програмі розвитку та підтримки комунальних підприємств охорони здоров’я Нетішинської міської ТГ і надання медичних послуг  на 2021-2024 роки</t>
  </si>
  <si>
    <t>Інші доходи (придбання обладнання і предметів довгострокового користування) згідно з Комплексною програмою розвитку та підтримки комунальних підприємств охорони здоров’я Нетішинської міської ТГ і надання медичних послуг  на 2021-2024 роки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</si>
</sst>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0.00_ ;[Red]\-0.00\ "/>
    <numFmt numFmtId="209" formatCode="0.000"/>
    <numFmt numFmtId="210" formatCode="0.0000"/>
    <numFmt numFmtId="211" formatCode="#,##0.0000"/>
    <numFmt numFmtId="212" formatCode="_-* #,##0.0\ _₴_-;\-* #,##0.0\ _₴_-;_-* &quot;-&quot;??\ _₴_-;_-@_-"/>
    <numFmt numFmtId="213" formatCode="_-* #,##0\ _₴_-;\-* #,##0\ _₴_-;_-* &quot;-&quot;??\ _₴_-;_-@_-"/>
    <numFmt numFmtId="214" formatCode="#,##0.00\ _₽"/>
    <numFmt numFmtId="215" formatCode="#,##0.00_₴;[Red]#,##0.00_₴"/>
    <numFmt numFmtId="216" formatCode="#,##0.00;[Red]#,##0.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7" fontId="12" fillId="0" borderId="11" xfId="0" applyNumberFormat="1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206" fontId="11" fillId="0" borderId="11" xfId="0" applyNumberFormat="1" applyFont="1" applyFill="1" applyBorder="1" applyAlignment="1">
      <alignment horizontal="center" vertical="center" wrapText="1"/>
    </xf>
    <xf numFmtId="207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1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2" fillId="0" borderId="10" xfId="0" applyNumberFormat="1" applyFont="1" applyFill="1" applyBorder="1" applyAlignment="1">
      <alignment horizontal="center" vertical="center" wrapText="1"/>
    </xf>
    <xf numFmtId="207" fontId="11" fillId="0" borderId="10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6" fillId="0" borderId="18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4" fontId="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04" fontId="4" fillId="2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 quotePrefix="1">
      <alignment horizontal="center" vertical="center"/>
    </xf>
    <xf numFmtId="201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205" fontId="12" fillId="0" borderId="0" xfId="0" applyNumberFormat="1" applyFont="1" applyFill="1" applyBorder="1" applyAlignment="1">
      <alignment horizontal="center" vertical="center" wrapText="1"/>
    </xf>
    <xf numFmtId="205" fontId="12" fillId="0" borderId="0" xfId="0" applyNumberFormat="1" applyFont="1" applyFill="1" applyBorder="1" applyAlignment="1">
      <alignment horizontal="right" vertical="center" wrapText="1"/>
    </xf>
    <xf numFmtId="205" fontId="12" fillId="0" borderId="0" xfId="0" applyNumberFormat="1" applyFont="1" applyFill="1" applyBorder="1" applyAlignment="1">
      <alignment horizontal="right" vertical="center"/>
    </xf>
    <xf numFmtId="204" fontId="11" fillId="0" borderId="0" xfId="0" applyNumberFormat="1" applyFont="1" applyFill="1" applyBorder="1" applyAlignment="1">
      <alignment horizontal="center" vertical="center" wrapText="1"/>
    </xf>
    <xf numFmtId="204" fontId="2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11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2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2" fontId="12" fillId="25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25" borderId="10" xfId="0" applyNumberFormat="1" applyFont="1" applyFill="1" applyBorder="1" applyAlignment="1">
      <alignment horizontal="center" vertical="center"/>
    </xf>
    <xf numFmtId="4" fontId="12" fillId="25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5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3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4" fontId="11" fillId="24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0" fontId="3" fillId="24" borderId="10" xfId="54" applyFont="1" applyFill="1" applyBorder="1" applyAlignment="1">
      <alignment horizontal="left" vertical="center" wrapText="1"/>
      <protection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 shrinkToFit="1"/>
    </xf>
    <xf numFmtId="0" fontId="1" fillId="24" borderId="10" xfId="0" applyFont="1" applyFill="1" applyBorder="1" applyAlignment="1" quotePrefix="1">
      <alignment horizontal="center" vertical="center"/>
    </xf>
    <xf numFmtId="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" fillId="0" borderId="10" xfId="54" applyFont="1" applyFill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4" fillId="24" borderId="10" xfId="54" applyFont="1" applyFill="1" applyBorder="1" applyAlignment="1">
      <alignment horizontal="left" vertical="center" wrapText="1"/>
      <protection/>
    </xf>
    <xf numFmtId="2" fontId="1" fillId="24" borderId="10" xfId="0" applyNumberFormat="1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center"/>
    </xf>
    <xf numFmtId="201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201" fontId="5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/>
    </xf>
    <xf numFmtId="204" fontId="4" fillId="24" borderId="10" xfId="0" applyNumberFormat="1" applyFont="1" applyFill="1" applyBorder="1" applyAlignment="1">
      <alignment horizontal="center" vertical="center" wrapText="1"/>
    </xf>
    <xf numFmtId="43" fontId="5" fillId="24" borderId="10" xfId="0" applyNumberFormat="1" applyFont="1" applyFill="1" applyBorder="1" applyAlignment="1">
      <alignment horizontal="left" vertical="center" wrapText="1"/>
    </xf>
    <xf numFmtId="201" fontId="12" fillId="24" borderId="10" xfId="0" applyNumberFormat="1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201" fontId="11" fillId="24" borderId="10" xfId="0" applyNumberFormat="1" applyFont="1" applyFill="1" applyBorder="1" applyAlignment="1">
      <alignment horizontal="center" vertical="center" wrapText="1"/>
    </xf>
    <xf numFmtId="4" fontId="12" fillId="25" borderId="10" xfId="0" applyNumberFormat="1" applyFont="1" applyFill="1" applyBorder="1" applyAlignment="1">
      <alignment horizontal="right" vertical="center"/>
    </xf>
    <xf numFmtId="4" fontId="12" fillId="25" borderId="10" xfId="0" applyNumberFormat="1" applyFont="1" applyFill="1" applyBorder="1" applyAlignment="1">
      <alignment horizontal="center" vertical="center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214" fontId="12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right" vertical="center" wrapText="1"/>
    </xf>
    <xf numFmtId="208" fontId="12" fillId="25" borderId="10" xfId="0" applyNumberFormat="1" applyFont="1" applyFill="1" applyBorder="1" applyAlignment="1">
      <alignment horizontal="right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208" fontId="33" fillId="25" borderId="10" xfId="0" applyNumberFormat="1" applyFont="1" applyFill="1" applyBorder="1" applyAlignment="1">
      <alignment horizontal="right" vertical="center"/>
    </xf>
    <xf numFmtId="208" fontId="33" fillId="25" borderId="10" xfId="0" applyNumberFormat="1" applyFont="1" applyFill="1" applyBorder="1" applyAlignment="1">
      <alignment horizontal="center" vertical="center"/>
    </xf>
    <xf numFmtId="208" fontId="0" fillId="24" borderId="10" xfId="0" applyNumberFormat="1" applyFont="1" applyFill="1" applyBorder="1" applyAlignment="1" applyProtection="1">
      <alignment horizontal="right" vertical="center"/>
      <protection locked="0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J29"/>
  <sheetViews>
    <sheetView zoomScaleSheetLayoutView="90" zoomScalePageLayoutView="0" workbookViewId="0" topLeftCell="A36">
      <selection activeCell="C13" sqref="C13:E13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15.7109375" style="0" customWidth="1"/>
    <col min="6" max="6" width="9.7109375" style="0" customWidth="1"/>
    <col min="7" max="7" width="7.421875" style="0" customWidth="1"/>
    <col min="8" max="8" width="11.421875" style="0" customWidth="1"/>
  </cols>
  <sheetData>
    <row r="1" spans="2:8" ht="18.75" customHeight="1" hidden="1">
      <c r="B1" s="45"/>
      <c r="E1" s="212" t="s">
        <v>173</v>
      </c>
      <c r="F1" s="212"/>
      <c r="G1" s="212"/>
      <c r="H1" s="212"/>
    </row>
    <row r="2" spans="4:10" ht="71.25" customHeight="1" hidden="1">
      <c r="D2" s="47"/>
      <c r="E2" s="213" t="s">
        <v>159</v>
      </c>
      <c r="F2" s="213"/>
      <c r="G2" s="213"/>
      <c r="H2" s="213"/>
      <c r="I2" s="48"/>
      <c r="J2" s="48"/>
    </row>
    <row r="3" ht="12.75">
      <c r="B3" s="49"/>
    </row>
    <row r="4" ht="12.75">
      <c r="B4" s="49"/>
    </row>
    <row r="5" spans="2:5" ht="18" customHeight="1">
      <c r="B5" s="49"/>
      <c r="E5" s="46" t="s">
        <v>143</v>
      </c>
    </row>
    <row r="6" spans="2:5" ht="18" customHeight="1">
      <c r="B6" s="49"/>
      <c r="E6" t="s">
        <v>158</v>
      </c>
    </row>
    <row r="7" spans="2:5" ht="18" customHeight="1">
      <c r="B7" s="49"/>
      <c r="E7" t="s">
        <v>158</v>
      </c>
    </row>
    <row r="8" spans="2:5" ht="18" customHeight="1">
      <c r="B8" s="49"/>
      <c r="E8" t="s">
        <v>158</v>
      </c>
    </row>
    <row r="9" spans="2:7" ht="18" customHeight="1">
      <c r="B9" s="49"/>
      <c r="E9" t="s">
        <v>194</v>
      </c>
      <c r="G9" t="s">
        <v>195</v>
      </c>
    </row>
    <row r="10" ht="20.25" customHeight="1" thickBot="1">
      <c r="B10" s="45"/>
    </row>
    <row r="11" spans="2:8" ht="15.75">
      <c r="B11" s="51"/>
      <c r="C11" s="51"/>
      <c r="D11" s="50"/>
      <c r="E11" s="50"/>
      <c r="F11" s="50"/>
      <c r="G11" s="72" t="s">
        <v>144</v>
      </c>
      <c r="H11" s="73"/>
    </row>
    <row r="12" spans="2:8" ht="16.5" thickBot="1">
      <c r="B12" s="61"/>
      <c r="C12" s="45"/>
      <c r="D12" s="45"/>
      <c r="E12" s="45">
        <v>2022</v>
      </c>
      <c r="F12" s="51" t="s">
        <v>140</v>
      </c>
      <c r="G12" s="74"/>
      <c r="H12" s="75"/>
    </row>
    <row r="13" spans="2:8" ht="93" customHeight="1" thickBot="1">
      <c r="B13" s="79" t="s">
        <v>145</v>
      </c>
      <c r="C13" s="214" t="s">
        <v>236</v>
      </c>
      <c r="D13" s="214"/>
      <c r="E13" s="214"/>
      <c r="F13" s="80" t="s">
        <v>146</v>
      </c>
      <c r="G13" s="215">
        <v>40365451</v>
      </c>
      <c r="H13" s="216"/>
    </row>
    <row r="14" spans="2:8" ht="32.25" thickBot="1">
      <c r="B14" s="54" t="s">
        <v>147</v>
      </c>
      <c r="C14" s="55"/>
      <c r="D14" s="55"/>
      <c r="E14" s="55"/>
      <c r="F14" s="52" t="s">
        <v>148</v>
      </c>
      <c r="G14" s="70"/>
      <c r="H14" s="71">
        <v>150</v>
      </c>
    </row>
    <row r="15" spans="2:8" ht="21.75" customHeight="1" thickBot="1">
      <c r="B15" s="54" t="s">
        <v>149</v>
      </c>
      <c r="C15" s="55"/>
      <c r="D15" s="55"/>
      <c r="E15" s="55"/>
      <c r="F15" s="52" t="s">
        <v>150</v>
      </c>
      <c r="G15" s="70"/>
      <c r="H15" s="71"/>
    </row>
    <row r="16" spans="2:8" ht="46.5" customHeight="1" thickBot="1">
      <c r="B16" s="54" t="s">
        <v>151</v>
      </c>
      <c r="C16" s="55"/>
      <c r="D16" s="55"/>
      <c r="E16" s="55"/>
      <c r="F16" s="52" t="s">
        <v>152</v>
      </c>
      <c r="G16" s="70"/>
      <c r="H16" s="123" t="s">
        <v>254</v>
      </c>
    </row>
    <row r="17" spans="2:8" ht="32.25" customHeight="1" thickBot="1">
      <c r="B17" s="54" t="s">
        <v>153</v>
      </c>
      <c r="C17" s="55"/>
      <c r="D17" s="55"/>
      <c r="E17" s="55"/>
      <c r="F17" s="56"/>
      <c r="G17" s="56"/>
      <c r="H17" s="53"/>
    </row>
    <row r="18" spans="2:8" ht="21.75" customHeight="1" thickBot="1">
      <c r="B18" s="54" t="s">
        <v>154</v>
      </c>
      <c r="C18" s="217" t="s">
        <v>190</v>
      </c>
      <c r="D18" s="217"/>
      <c r="E18" s="217"/>
      <c r="F18" s="217"/>
      <c r="G18" s="56"/>
      <c r="H18" s="53"/>
    </row>
    <row r="19" spans="2:8" ht="39" customHeight="1" thickBot="1">
      <c r="B19" s="54" t="s">
        <v>155</v>
      </c>
      <c r="C19" s="218">
        <v>428.5</v>
      </c>
      <c r="D19" s="218"/>
      <c r="E19" s="57"/>
      <c r="F19" s="55"/>
      <c r="G19" s="56"/>
      <c r="H19" s="53"/>
    </row>
    <row r="20" spans="2:8" ht="21.75" customHeight="1" thickBot="1">
      <c r="B20" s="54" t="s">
        <v>156</v>
      </c>
      <c r="C20" s="56" t="s">
        <v>182</v>
      </c>
      <c r="D20" s="56"/>
      <c r="E20" s="56"/>
      <c r="F20" s="56"/>
      <c r="G20" s="56"/>
      <c r="H20" s="53"/>
    </row>
    <row r="21" spans="2:8" ht="21.75" customHeight="1" thickBot="1">
      <c r="B21" s="54" t="s">
        <v>157</v>
      </c>
      <c r="C21" s="58">
        <v>42266</v>
      </c>
      <c r="D21" s="58"/>
      <c r="E21" s="58"/>
      <c r="F21" s="58"/>
      <c r="G21" s="58"/>
      <c r="H21" s="59"/>
    </row>
    <row r="22" spans="3:8" ht="15.75">
      <c r="C22" s="58"/>
      <c r="D22" s="58"/>
      <c r="E22" s="58"/>
      <c r="F22" s="58"/>
      <c r="G22" s="58"/>
      <c r="H22" s="58"/>
    </row>
    <row r="23" spans="2:8" ht="47.25" customHeight="1">
      <c r="B23" s="2" t="s">
        <v>258</v>
      </c>
      <c r="C23" s="2"/>
      <c r="D23" s="2"/>
      <c r="E23" s="209" t="s">
        <v>265</v>
      </c>
      <c r="F23" s="209"/>
      <c r="G23" s="209"/>
      <c r="H23" s="209"/>
    </row>
    <row r="24" spans="2:8" ht="39" customHeight="1">
      <c r="B24" s="122"/>
      <c r="C24" s="2"/>
      <c r="D24" s="2"/>
      <c r="E24" s="210"/>
      <c r="F24" s="210"/>
      <c r="G24" s="210"/>
      <c r="H24" s="210"/>
    </row>
    <row r="25" spans="2:8" ht="29.25" customHeight="1">
      <c r="B25" s="2"/>
      <c r="C25" s="2"/>
      <c r="D25" s="2"/>
      <c r="E25" s="211"/>
      <c r="F25" s="211"/>
      <c r="G25" s="211"/>
      <c r="H25" s="211"/>
    </row>
    <row r="26" ht="16.5">
      <c r="B26" s="60"/>
    </row>
    <row r="27" ht="15.75">
      <c r="B27" s="44"/>
    </row>
    <row r="28" ht="15.75">
      <c r="B28" s="44"/>
    </row>
    <row r="29" ht="15.75">
      <c r="B29" s="44"/>
    </row>
  </sheetData>
  <sheetProtection/>
  <mergeCells count="9">
    <mergeCell ref="E23:H23"/>
    <mergeCell ref="E24:H24"/>
    <mergeCell ref="E25:H25"/>
    <mergeCell ref="E1:H1"/>
    <mergeCell ref="E2:H2"/>
    <mergeCell ref="C13:E13"/>
    <mergeCell ref="G13:H13"/>
    <mergeCell ref="C18:F18"/>
    <mergeCell ref="C19:D19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4"/>
  <sheetViews>
    <sheetView tabSelected="1" zoomScaleSheetLayoutView="100" workbookViewId="0" topLeftCell="A76">
      <selection activeCell="K77" sqref="K77"/>
    </sheetView>
  </sheetViews>
  <sheetFormatPr defaultColWidth="9.140625" defaultRowHeight="12.75"/>
  <cols>
    <col min="1" max="1" width="31.28125" style="2" customWidth="1"/>
    <col min="2" max="2" width="7.57421875" style="2" customWidth="1"/>
    <col min="3" max="4" width="11.8515625" style="2" customWidth="1"/>
    <col min="5" max="5" width="11.00390625" style="2" customWidth="1"/>
    <col min="6" max="6" width="11.28125" style="2" customWidth="1"/>
    <col min="7" max="7" width="10.57421875" style="2" customWidth="1"/>
    <col min="8" max="8" width="10.28125" style="2" customWidth="1"/>
    <col min="9" max="9" width="10.140625" style="2" customWidth="1"/>
    <col min="10" max="16384" width="9.140625" style="2" customWidth="1"/>
  </cols>
  <sheetData>
    <row r="1" spans="1:9" ht="22.5" customHeight="1">
      <c r="A1" s="225" t="s">
        <v>301</v>
      </c>
      <c r="B1" s="225"/>
      <c r="C1" s="225"/>
      <c r="D1" s="225"/>
      <c r="E1" s="225"/>
      <c r="F1" s="225"/>
      <c r="G1" s="225"/>
      <c r="H1" s="225"/>
      <c r="I1" s="225"/>
    </row>
    <row r="2" spans="7:9" ht="15" customHeight="1">
      <c r="G2" s="226" t="s">
        <v>142</v>
      </c>
      <c r="H2" s="226"/>
      <c r="I2" s="226"/>
    </row>
    <row r="3" spans="1:9" ht="18.75">
      <c r="A3" s="227" t="s">
        <v>0</v>
      </c>
      <c r="B3" s="227"/>
      <c r="C3" s="227"/>
      <c r="D3" s="227"/>
      <c r="E3" s="227"/>
      <c r="F3" s="227"/>
      <c r="G3" s="227"/>
      <c r="H3" s="227"/>
      <c r="I3" s="227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228" t="s">
        <v>1</v>
      </c>
      <c r="B5" s="229" t="s">
        <v>2</v>
      </c>
      <c r="C5" s="229" t="s">
        <v>347</v>
      </c>
      <c r="D5" s="229" t="s">
        <v>348</v>
      </c>
      <c r="E5" s="229" t="s">
        <v>349</v>
      </c>
      <c r="F5" s="229" t="s">
        <v>6</v>
      </c>
      <c r="G5" s="229"/>
      <c r="H5" s="229"/>
      <c r="I5" s="229"/>
    </row>
    <row r="6" spans="1:9" ht="37.5" customHeight="1">
      <c r="A6" s="228"/>
      <c r="B6" s="229"/>
      <c r="C6" s="229"/>
      <c r="D6" s="229"/>
      <c r="E6" s="229"/>
      <c r="F6" s="170" t="s">
        <v>7</v>
      </c>
      <c r="G6" s="170" t="s">
        <v>8</v>
      </c>
      <c r="H6" s="170" t="s">
        <v>9</v>
      </c>
      <c r="I6" s="170" t="s">
        <v>10</v>
      </c>
    </row>
    <row r="7" spans="1:9" s="12" customFormat="1" ht="15.75">
      <c r="A7" s="133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</row>
    <row r="8" spans="1:9" ht="23.25" customHeight="1">
      <c r="A8" s="149" t="s">
        <v>11</v>
      </c>
      <c r="B8" s="121"/>
      <c r="C8" s="174"/>
      <c r="D8" s="176"/>
      <c r="E8" s="174"/>
      <c r="F8" s="121"/>
      <c r="G8" s="121"/>
      <c r="H8" s="121"/>
      <c r="I8" s="121"/>
    </row>
    <row r="9" spans="1:9" ht="48.75" customHeight="1">
      <c r="A9" s="156" t="s">
        <v>12</v>
      </c>
      <c r="B9" s="157">
        <v>1000</v>
      </c>
      <c r="C9" s="158">
        <f>C10+C11+C12+C16+C15+C13+C14</f>
        <v>55622.979999999996</v>
      </c>
      <c r="D9" s="159">
        <f>D10+D11+D12+D13+D15+D16</f>
        <v>71754.92</v>
      </c>
      <c r="E9" s="158">
        <f>F9+G9+H9+I9</f>
        <v>78689.38</v>
      </c>
      <c r="F9" s="158">
        <f>F10+F11+F12+F16+F13+F15</f>
        <v>13757.84</v>
      </c>
      <c r="G9" s="158">
        <f>G10+G11+G12+G16+G13+G15</f>
        <v>21781.860000000004</v>
      </c>
      <c r="H9" s="158">
        <f>H10+H11+H12+H16+H13+H15</f>
        <v>21781.99</v>
      </c>
      <c r="I9" s="158">
        <f>I10+I11+I12+I16+I13+I15</f>
        <v>21367.69</v>
      </c>
    </row>
    <row r="10" spans="1:9" ht="92.25" customHeight="1">
      <c r="A10" s="160" t="s">
        <v>267</v>
      </c>
      <c r="B10" s="157" t="s">
        <v>183</v>
      </c>
      <c r="C10" s="161">
        <v>5091.97</v>
      </c>
      <c r="D10" s="161">
        <v>5426.22</v>
      </c>
      <c r="E10" s="158">
        <f aca="true" t="shared" si="0" ref="E10:E15">F10+G10+H10+I10</f>
        <v>8010</v>
      </c>
      <c r="F10" s="162">
        <v>2002.5</v>
      </c>
      <c r="G10" s="162">
        <v>2002.5</v>
      </c>
      <c r="H10" s="162">
        <v>2002.5</v>
      </c>
      <c r="I10" s="162">
        <v>2002.5</v>
      </c>
    </row>
    <row r="11" spans="1:9" ht="35.25" customHeight="1">
      <c r="A11" s="160" t="s">
        <v>199</v>
      </c>
      <c r="B11" s="157" t="s">
        <v>184</v>
      </c>
      <c r="C11" s="161">
        <v>487.94</v>
      </c>
      <c r="D11" s="161">
        <v>353</v>
      </c>
      <c r="E11" s="158">
        <f t="shared" si="0"/>
        <v>350</v>
      </c>
      <c r="F11" s="162">
        <v>81</v>
      </c>
      <c r="G11" s="162">
        <f>82+5.5</f>
        <v>87.5</v>
      </c>
      <c r="H11" s="162">
        <f>84+5.8</f>
        <v>89.8</v>
      </c>
      <c r="I11" s="162">
        <f>85.27+6.43</f>
        <v>91.69999999999999</v>
      </c>
    </row>
    <row r="12" spans="1:9" ht="33.75" customHeight="1">
      <c r="A12" s="160" t="s">
        <v>200</v>
      </c>
      <c r="B12" s="157" t="s">
        <v>185</v>
      </c>
      <c r="C12" s="161">
        <v>0.88</v>
      </c>
      <c r="D12" s="161">
        <v>3.6</v>
      </c>
      <c r="E12" s="158">
        <f t="shared" si="0"/>
        <v>4.34</v>
      </c>
      <c r="F12" s="162"/>
      <c r="G12" s="162">
        <v>2.17</v>
      </c>
      <c r="H12" s="162"/>
      <c r="I12" s="162">
        <v>2.17</v>
      </c>
    </row>
    <row r="13" spans="1:9" ht="49.5" customHeight="1">
      <c r="A13" s="160" t="s">
        <v>269</v>
      </c>
      <c r="B13" s="157" t="s">
        <v>186</v>
      </c>
      <c r="C13" s="161">
        <v>72.14</v>
      </c>
      <c r="D13" s="161">
        <v>0</v>
      </c>
      <c r="E13" s="158"/>
      <c r="F13" s="162"/>
      <c r="G13" s="162"/>
      <c r="H13" s="162"/>
      <c r="I13" s="162"/>
    </row>
    <row r="14" spans="1:9" ht="105.75" customHeight="1">
      <c r="A14" s="160" t="s">
        <v>302</v>
      </c>
      <c r="B14" s="157" t="s">
        <v>270</v>
      </c>
      <c r="C14" s="161">
        <v>1817.09</v>
      </c>
      <c r="D14" s="161"/>
      <c r="E14" s="158"/>
      <c r="F14" s="162"/>
      <c r="G14" s="162"/>
      <c r="H14" s="162"/>
      <c r="I14" s="162"/>
    </row>
    <row r="15" spans="1:9" ht="93.75" customHeight="1">
      <c r="A15" s="160" t="s">
        <v>266</v>
      </c>
      <c r="B15" s="157" t="s">
        <v>275</v>
      </c>
      <c r="C15" s="161"/>
      <c r="D15" s="161">
        <v>3164</v>
      </c>
      <c r="E15" s="158">
        <f t="shared" si="0"/>
        <v>3778.47</v>
      </c>
      <c r="F15" s="162">
        <v>735.42</v>
      </c>
      <c r="G15" s="162">
        <f>735.42+418.39</f>
        <v>1153.81</v>
      </c>
      <c r="H15" s="162">
        <f>735.42+418.39</f>
        <v>1153.81</v>
      </c>
      <c r="I15" s="162">
        <v>735.43</v>
      </c>
    </row>
    <row r="16" spans="1:9" ht="48" customHeight="1">
      <c r="A16" s="160" t="s">
        <v>262</v>
      </c>
      <c r="B16" s="157">
        <v>1001</v>
      </c>
      <c r="C16" s="161">
        <v>48152.96</v>
      </c>
      <c r="D16" s="159">
        <v>62808.1</v>
      </c>
      <c r="E16" s="158">
        <f>F16+G16+H16+I16</f>
        <v>66546.57</v>
      </c>
      <c r="F16" s="162">
        <v>10938.92</v>
      </c>
      <c r="G16" s="162">
        <f>10938.93+7596.95</f>
        <v>18535.88</v>
      </c>
      <c r="H16" s="162">
        <f>10938.93+7596.95</f>
        <v>18535.88</v>
      </c>
      <c r="I16" s="162">
        <f>10938.93+7596.96</f>
        <v>18535.89</v>
      </c>
    </row>
    <row r="17" spans="1:9" ht="36" customHeight="1">
      <c r="A17" s="156" t="s">
        <v>13</v>
      </c>
      <c r="B17" s="157">
        <v>1010</v>
      </c>
      <c r="C17" s="159">
        <f>C18+C19+C20+C21+C22+C23+C24+C25+C26+C27+C28</f>
        <v>8497.869999999999</v>
      </c>
      <c r="D17" s="159">
        <f aca="true" t="shared" si="1" ref="D17:I17">D18+D19+D20+D21+D22+D23+D24+D25+D26+D27</f>
        <v>8946.82</v>
      </c>
      <c r="E17" s="159">
        <f t="shared" si="1"/>
        <v>67008.04</v>
      </c>
      <c r="F17" s="159">
        <f>F18+F19+F20+F21+F22+F23+F24+F25+F26+F27</f>
        <v>10892.7</v>
      </c>
      <c r="G17" s="159">
        <f>G18+G19+G20+G21+G22+G23+G24+G25+G26+G27</f>
        <v>18699.22</v>
      </c>
      <c r="H17" s="159">
        <f t="shared" si="1"/>
        <v>19105.059999999998</v>
      </c>
      <c r="I17" s="159">
        <f t="shared" si="1"/>
        <v>18311.059999999998</v>
      </c>
    </row>
    <row r="18" spans="1:9" ht="46.5" customHeight="1">
      <c r="A18" s="156" t="s">
        <v>212</v>
      </c>
      <c r="B18" s="163">
        <v>1011</v>
      </c>
      <c r="C18" s="161">
        <v>2968.38</v>
      </c>
      <c r="D18" s="161">
        <v>2577</v>
      </c>
      <c r="E18" s="159">
        <f>F18+G18+H18+I18</f>
        <v>4785</v>
      </c>
      <c r="F18" s="161">
        <f>9.5+415+318.34</f>
        <v>742.8399999999999</v>
      </c>
      <c r="G18" s="161">
        <f>15.5+415+318.46+600</f>
        <v>1348.96</v>
      </c>
      <c r="H18" s="161">
        <f>10+415+318.4+600</f>
        <v>1343.4</v>
      </c>
      <c r="I18" s="161">
        <f>16.3+415.1+318.4+600</f>
        <v>1349.8</v>
      </c>
    </row>
    <row r="19" spans="1:9" ht="15.75">
      <c r="A19" s="156" t="s">
        <v>14</v>
      </c>
      <c r="B19" s="163">
        <v>1012</v>
      </c>
      <c r="C19" s="161"/>
      <c r="D19" s="161"/>
      <c r="E19" s="161"/>
      <c r="F19" s="161"/>
      <c r="G19" s="161"/>
      <c r="H19" s="161"/>
      <c r="I19" s="161"/>
    </row>
    <row r="20" spans="1:9" ht="18.75" customHeight="1">
      <c r="A20" s="156" t="s">
        <v>15</v>
      </c>
      <c r="B20" s="163">
        <v>1013</v>
      </c>
      <c r="C20" s="161"/>
      <c r="D20" s="161"/>
      <c r="E20" s="161"/>
      <c r="F20" s="161"/>
      <c r="G20" s="161"/>
      <c r="H20" s="161"/>
      <c r="I20" s="161"/>
    </row>
    <row r="21" spans="1:9" ht="24.75" customHeight="1">
      <c r="A21" s="156" t="s">
        <v>16</v>
      </c>
      <c r="B21" s="163">
        <v>1014</v>
      </c>
      <c r="C21" s="161">
        <v>2508.42</v>
      </c>
      <c r="D21" s="161">
        <v>4370</v>
      </c>
      <c r="E21" s="158">
        <f>F21+G21+H21+I21</f>
        <v>48974.78</v>
      </c>
      <c r="F21" s="162">
        <f>472.53+8647.92+741.82-1923.7</f>
        <v>7938.570000000001</v>
      </c>
      <c r="G21" s="162">
        <f>472.53+41.08+44.21+8647.93+741.82+80-2242.1+5730+220</f>
        <v>13735.47</v>
      </c>
      <c r="H21" s="162">
        <f>472.53+43.23+8647.93+741.82+80-1942.1+5730+220</f>
        <v>13993.41</v>
      </c>
      <c r="I21" s="162">
        <f>472.54+91.14+8647.93+741.82+46-2292.1+5600</f>
        <v>13307.33</v>
      </c>
    </row>
    <row r="22" spans="1:9" ht="33.75" customHeight="1">
      <c r="A22" s="156" t="s">
        <v>17</v>
      </c>
      <c r="B22" s="163">
        <v>1015</v>
      </c>
      <c r="C22" s="161">
        <v>545.2</v>
      </c>
      <c r="D22" s="161">
        <v>959.82</v>
      </c>
      <c r="E22" s="158">
        <f>F22+G22+H22+I22</f>
        <v>10721.93</v>
      </c>
      <c r="F22" s="161">
        <f>ROUND(F21*21.774/100,2)</f>
        <v>1728.54</v>
      </c>
      <c r="G22" s="161">
        <f>ROUND(G21*21.9/100,2)-0.53</f>
        <v>3007.54</v>
      </c>
      <c r="H22" s="161">
        <f>ROUND(H21*21.9/100,2)-0.86</f>
        <v>3063.7</v>
      </c>
      <c r="I22" s="161">
        <f>ROUND(I21*21.9/100,2)+7.84</f>
        <v>2922.15</v>
      </c>
    </row>
    <row r="23" spans="1:9" ht="117" customHeight="1">
      <c r="A23" s="156" t="s">
        <v>273</v>
      </c>
      <c r="B23" s="163">
        <v>1016</v>
      </c>
      <c r="C23" s="161">
        <v>1132.66</v>
      </c>
      <c r="D23" s="161">
        <v>780</v>
      </c>
      <c r="E23" s="158">
        <f>F23+G23+H23+I23</f>
        <v>1810.33</v>
      </c>
      <c r="F23" s="162">
        <f>500-97</f>
        <v>403</v>
      </c>
      <c r="G23" s="162">
        <f>500-9-32-2-8-60+5.5</f>
        <v>394.5</v>
      </c>
      <c r="H23" s="162">
        <f>600-9-32-2-10-60+5.8</f>
        <v>492.8</v>
      </c>
      <c r="I23" s="162">
        <f>623.6-9-34-1-6-60+6.43</f>
        <v>520.03</v>
      </c>
    </row>
    <row r="24" spans="1:9" ht="35.25" customHeight="1">
      <c r="A24" s="156" t="s">
        <v>18</v>
      </c>
      <c r="B24" s="163">
        <v>1017</v>
      </c>
      <c r="C24" s="161"/>
      <c r="D24" s="161"/>
      <c r="E24" s="158"/>
      <c r="F24" s="164"/>
      <c r="G24" s="164"/>
      <c r="H24" s="164"/>
      <c r="I24" s="164"/>
    </row>
    <row r="25" spans="1:9" ht="24.75" customHeight="1">
      <c r="A25" s="156" t="s">
        <v>19</v>
      </c>
      <c r="B25" s="163">
        <v>1018</v>
      </c>
      <c r="C25" s="161"/>
      <c r="D25" s="161"/>
      <c r="E25" s="158"/>
      <c r="F25" s="161"/>
      <c r="G25" s="161"/>
      <c r="H25" s="161"/>
      <c r="I25" s="161"/>
    </row>
    <row r="26" spans="1:9" ht="51.75" customHeight="1">
      <c r="A26" s="156" t="s">
        <v>211</v>
      </c>
      <c r="B26" s="163" t="s">
        <v>232</v>
      </c>
      <c r="C26" s="161">
        <v>107.7</v>
      </c>
      <c r="D26" s="161">
        <v>230</v>
      </c>
      <c r="E26" s="158">
        <f>F26+G26+H26+I26</f>
        <v>716</v>
      </c>
      <c r="F26" s="161">
        <f>83.75-4</f>
        <v>79.75</v>
      </c>
      <c r="G26" s="161">
        <f>83.75-4+153-20</f>
        <v>212.75</v>
      </c>
      <c r="H26" s="161">
        <f>83.75-5+153-20</f>
        <v>211.75</v>
      </c>
      <c r="I26" s="161">
        <f>83.75-5+153-20</f>
        <v>211.75</v>
      </c>
    </row>
    <row r="27" spans="1:9" ht="24.75" customHeight="1">
      <c r="A27" s="156" t="s">
        <v>209</v>
      </c>
      <c r="B27" s="163" t="s">
        <v>233</v>
      </c>
      <c r="C27" s="161"/>
      <c r="D27" s="161">
        <v>30</v>
      </c>
      <c r="E27" s="158">
        <f>F27+G27+H27+I27</f>
        <v>0</v>
      </c>
      <c r="F27" s="161">
        <v>0</v>
      </c>
      <c r="G27" s="161">
        <v>0</v>
      </c>
      <c r="H27" s="161">
        <v>0</v>
      </c>
      <c r="I27" s="161">
        <v>0</v>
      </c>
    </row>
    <row r="28" spans="1:9" ht="35.25" customHeight="1">
      <c r="A28" s="156" t="s">
        <v>303</v>
      </c>
      <c r="B28" s="163" t="s">
        <v>313</v>
      </c>
      <c r="C28" s="161">
        <v>1235.51</v>
      </c>
      <c r="D28" s="161"/>
      <c r="E28" s="158"/>
      <c r="F28" s="161"/>
      <c r="G28" s="161"/>
      <c r="H28" s="161"/>
      <c r="I28" s="161"/>
    </row>
    <row r="29" spans="1:9" ht="24.75" customHeight="1">
      <c r="A29" s="156" t="s">
        <v>20</v>
      </c>
      <c r="B29" s="157">
        <v>1020</v>
      </c>
      <c r="C29" s="159">
        <f>C9-C17</f>
        <v>47125.11</v>
      </c>
      <c r="D29" s="159">
        <v>62808.1</v>
      </c>
      <c r="E29" s="159">
        <f>F29+G29+H29+I29</f>
        <v>11681.340000000007</v>
      </c>
      <c r="F29" s="159">
        <f>F9-F17</f>
        <v>2865.1399999999994</v>
      </c>
      <c r="G29" s="159">
        <f>G9-G17</f>
        <v>3082.640000000003</v>
      </c>
      <c r="H29" s="159">
        <f>H9-H17</f>
        <v>2676.930000000004</v>
      </c>
      <c r="I29" s="159">
        <f>I9-I17</f>
        <v>3056.630000000001</v>
      </c>
    </row>
    <row r="30" spans="1:9" ht="30" customHeight="1">
      <c r="A30" s="156" t="s">
        <v>21</v>
      </c>
      <c r="B30" s="157">
        <v>1030</v>
      </c>
      <c r="C30" s="159">
        <f>C31+C32+C33+C34+C35+C36+C38+C37+C39+C41+C42+C43+C44+C45+C46+C47+C48+C52+C40+C49+C50+C51+C66</f>
        <v>9749.71</v>
      </c>
      <c r="D30" s="159">
        <f>D31+D32+D33+D34+D35+D36+D38+D37+D39+D41+D42+D43+D44+D45+D46+D47+D48+D52+D40+D49+D50+D51</f>
        <v>9937.35</v>
      </c>
      <c r="E30" s="159">
        <f>F30+G30+H30+I30</f>
        <v>10938.02</v>
      </c>
      <c r="F30" s="159">
        <f>F31+F32+F33+F34+F35+F36+F38+F37+F39+F41+F42+F43+F44+F45+F46+F47+F48+F52+F40+F49+F50+F51</f>
        <v>2483.57</v>
      </c>
      <c r="G30" s="159">
        <f>G31+G32+G33+G34+G35+G36+G38+G37+G39+G41+G42+G43+G44+G45+G46+G47+G48+G52+G40+G49+G50+G51</f>
        <v>2905.29</v>
      </c>
      <c r="H30" s="159">
        <f>H31+H32+H33+H34+H35+H36+H38+H37+H39+H41+H42+H43+H44+H45+H46+H47+H48+H52+H40+H49+H50+H51</f>
        <v>2557.97</v>
      </c>
      <c r="I30" s="159">
        <f>I31+I32+I33+I34+I35+I36+I38+I37+I39+I41+I42+I43+I44+I45+I46+I47+I48+I52+I40+I49+I50+I51</f>
        <v>2991.19</v>
      </c>
    </row>
    <row r="31" spans="1:9" ht="52.5" customHeight="1">
      <c r="A31" s="156" t="s">
        <v>22</v>
      </c>
      <c r="B31" s="157">
        <v>1031</v>
      </c>
      <c r="C31" s="161">
        <v>18.86</v>
      </c>
      <c r="D31" s="161">
        <v>32</v>
      </c>
      <c r="E31" s="159">
        <f>F31+G31+H31+I31</f>
        <v>35</v>
      </c>
      <c r="F31" s="161">
        <v>8</v>
      </c>
      <c r="G31" s="161">
        <v>9</v>
      </c>
      <c r="H31" s="161">
        <v>9</v>
      </c>
      <c r="I31" s="161">
        <v>9</v>
      </c>
    </row>
    <row r="32" spans="1:9" ht="37.5" customHeight="1">
      <c r="A32" s="156" t="s">
        <v>23</v>
      </c>
      <c r="B32" s="157">
        <v>1032</v>
      </c>
      <c r="C32" s="161"/>
      <c r="D32" s="161"/>
      <c r="E32" s="159"/>
      <c r="F32" s="161"/>
      <c r="G32" s="161"/>
      <c r="H32" s="161"/>
      <c r="I32" s="161"/>
    </row>
    <row r="33" spans="1:9" ht="31.5">
      <c r="A33" s="156" t="s">
        <v>24</v>
      </c>
      <c r="B33" s="157">
        <v>1033</v>
      </c>
      <c r="C33" s="161"/>
      <c r="D33" s="161"/>
      <c r="E33" s="159"/>
      <c r="F33" s="161"/>
      <c r="G33" s="161"/>
      <c r="H33" s="161"/>
      <c r="I33" s="161"/>
    </row>
    <row r="34" spans="1:9" ht="21.75" customHeight="1">
      <c r="A34" s="156" t="s">
        <v>25</v>
      </c>
      <c r="B34" s="157">
        <v>1034</v>
      </c>
      <c r="C34" s="161"/>
      <c r="D34" s="161"/>
      <c r="E34" s="159"/>
      <c r="F34" s="161"/>
      <c r="G34" s="161"/>
      <c r="H34" s="161"/>
      <c r="I34" s="161"/>
    </row>
    <row r="35" spans="1:9" ht="31.5">
      <c r="A35" s="156" t="s">
        <v>26</v>
      </c>
      <c r="B35" s="157">
        <v>1035</v>
      </c>
      <c r="C35" s="161"/>
      <c r="D35" s="161"/>
      <c r="E35" s="159"/>
      <c r="F35" s="161"/>
      <c r="G35" s="161"/>
      <c r="H35" s="161"/>
      <c r="I35" s="161"/>
    </row>
    <row r="36" spans="1:9" ht="29.25" customHeight="1">
      <c r="A36" s="156" t="s">
        <v>27</v>
      </c>
      <c r="B36" s="157">
        <v>1036</v>
      </c>
      <c r="C36" s="161">
        <v>3.2</v>
      </c>
      <c r="D36" s="161">
        <v>15</v>
      </c>
      <c r="E36" s="159">
        <f>F36+G36+H36+I36</f>
        <v>78</v>
      </c>
      <c r="F36" s="161">
        <v>4</v>
      </c>
      <c r="G36" s="161">
        <f>4+20</f>
        <v>24</v>
      </c>
      <c r="H36" s="161">
        <f>5+20</f>
        <v>25</v>
      </c>
      <c r="I36" s="161">
        <f>5+20</f>
        <v>25</v>
      </c>
    </row>
    <row r="37" spans="1:9" ht="21.75" customHeight="1">
      <c r="A37" s="156" t="s">
        <v>28</v>
      </c>
      <c r="B37" s="157">
        <v>1037</v>
      </c>
      <c r="C37" s="161">
        <v>104.11</v>
      </c>
      <c r="D37" s="161">
        <v>130.35</v>
      </c>
      <c r="E37" s="159">
        <f>F37+G37+H37+I37</f>
        <v>130</v>
      </c>
      <c r="F37" s="161">
        <v>32</v>
      </c>
      <c r="G37" s="161">
        <v>32</v>
      </c>
      <c r="H37" s="161">
        <v>32</v>
      </c>
      <c r="I37" s="161">
        <v>34</v>
      </c>
    </row>
    <row r="38" spans="1:9" ht="21.75" customHeight="1">
      <c r="A38" s="156" t="s">
        <v>29</v>
      </c>
      <c r="B38" s="157">
        <v>1038</v>
      </c>
      <c r="C38" s="161">
        <v>5444.56</v>
      </c>
      <c r="D38" s="161">
        <v>7550</v>
      </c>
      <c r="E38" s="159">
        <f>F38+G38+H38+I38</f>
        <v>8400</v>
      </c>
      <c r="F38" s="162">
        <v>1923.7</v>
      </c>
      <c r="G38" s="162">
        <f>1942.1+300</f>
        <v>2242.1</v>
      </c>
      <c r="H38" s="162">
        <f>1942.1</f>
        <v>1942.1</v>
      </c>
      <c r="I38" s="162">
        <f>1942.1+350</f>
        <v>2292.1</v>
      </c>
    </row>
    <row r="39" spans="1:9" ht="30.75" customHeight="1">
      <c r="A39" s="156" t="s">
        <v>30</v>
      </c>
      <c r="B39" s="157">
        <v>1039</v>
      </c>
      <c r="C39" s="161">
        <v>1144.92</v>
      </c>
      <c r="D39" s="161">
        <v>1656</v>
      </c>
      <c r="E39" s="159">
        <f>F39+G39+H39+I39</f>
        <v>1829.0199999999998</v>
      </c>
      <c r="F39" s="161">
        <f>ROUND(F38*21.774/100,2)</f>
        <v>418.87</v>
      </c>
      <c r="G39" s="161">
        <f>ROUND(G38*21.774/100,2)</f>
        <v>488.19</v>
      </c>
      <c r="H39" s="161">
        <f>ROUND(H38*21.774/100,2)</f>
        <v>422.87</v>
      </c>
      <c r="I39" s="161">
        <f>ROUND(I38*21.774/100,2)+0.01</f>
        <v>499.09</v>
      </c>
    </row>
    <row r="40" spans="1:9" ht="66.75" customHeight="1">
      <c r="A40" s="156" t="s">
        <v>311</v>
      </c>
      <c r="B40" s="157">
        <v>1040</v>
      </c>
      <c r="C40" s="161">
        <f>1586.7+378.89</f>
        <v>1965.5900000000001</v>
      </c>
      <c r="D40" s="161">
        <v>218</v>
      </c>
      <c r="E40" s="159">
        <f>F40+G40+H40+I40</f>
        <v>200</v>
      </c>
      <c r="F40" s="162">
        <v>40</v>
      </c>
      <c r="G40" s="162">
        <v>40</v>
      </c>
      <c r="H40" s="162">
        <v>55</v>
      </c>
      <c r="I40" s="162">
        <v>65</v>
      </c>
    </row>
    <row r="41" spans="1:9" ht="62.25" customHeight="1">
      <c r="A41" s="156" t="s">
        <v>31</v>
      </c>
      <c r="B41" s="157">
        <v>1041</v>
      </c>
      <c r="C41" s="161"/>
      <c r="D41" s="161"/>
      <c r="E41" s="161"/>
      <c r="F41" s="161"/>
      <c r="G41" s="161"/>
      <c r="H41" s="161"/>
      <c r="I41" s="161"/>
    </row>
    <row r="42" spans="1:9" ht="54" customHeight="1">
      <c r="A42" s="156" t="s">
        <v>32</v>
      </c>
      <c r="B42" s="157">
        <v>1042</v>
      </c>
      <c r="C42" s="161"/>
      <c r="D42" s="161"/>
      <c r="E42" s="161"/>
      <c r="F42" s="161"/>
      <c r="G42" s="161"/>
      <c r="H42" s="161"/>
      <c r="I42" s="161"/>
    </row>
    <row r="43" spans="1:9" ht="47.25">
      <c r="A43" s="156" t="s">
        <v>33</v>
      </c>
      <c r="B43" s="157">
        <v>1043</v>
      </c>
      <c r="C43" s="161"/>
      <c r="D43" s="161"/>
      <c r="E43" s="161"/>
      <c r="F43" s="161"/>
      <c r="G43" s="161"/>
      <c r="H43" s="161"/>
      <c r="I43" s="161"/>
    </row>
    <row r="44" spans="1:9" ht="31.5">
      <c r="A44" s="156" t="s">
        <v>34</v>
      </c>
      <c r="B44" s="157">
        <v>1044</v>
      </c>
      <c r="C44" s="161"/>
      <c r="D44" s="161"/>
      <c r="E44" s="161"/>
      <c r="F44" s="161"/>
      <c r="G44" s="161"/>
      <c r="H44" s="161"/>
      <c r="I44" s="161"/>
    </row>
    <row r="45" spans="1:9" ht="31.5">
      <c r="A45" s="156" t="s">
        <v>35</v>
      </c>
      <c r="B45" s="157">
        <v>1045</v>
      </c>
      <c r="C45" s="161">
        <v>3.45</v>
      </c>
      <c r="D45" s="161"/>
      <c r="E45" s="161"/>
      <c r="F45" s="161"/>
      <c r="G45" s="161"/>
      <c r="H45" s="161"/>
      <c r="I45" s="161"/>
    </row>
    <row r="46" spans="1:9" ht="21" customHeight="1">
      <c r="A46" s="156" t="s">
        <v>36</v>
      </c>
      <c r="B46" s="157">
        <v>1046</v>
      </c>
      <c r="C46" s="161">
        <v>3.5</v>
      </c>
      <c r="D46" s="161">
        <v>10</v>
      </c>
      <c r="E46" s="159">
        <f>F46+G46+H46+I46</f>
        <v>6</v>
      </c>
      <c r="F46" s="161">
        <v>1</v>
      </c>
      <c r="G46" s="161">
        <v>2</v>
      </c>
      <c r="H46" s="161">
        <v>2</v>
      </c>
      <c r="I46" s="161">
        <v>1</v>
      </c>
    </row>
    <row r="47" spans="1:9" ht="21.75" customHeight="1">
      <c r="A47" s="156" t="s">
        <v>37</v>
      </c>
      <c r="B47" s="157">
        <v>1047</v>
      </c>
      <c r="C47" s="161"/>
      <c r="D47" s="161"/>
      <c r="E47" s="161"/>
      <c r="F47" s="161"/>
      <c r="G47" s="161"/>
      <c r="H47" s="161"/>
      <c r="I47" s="161"/>
    </row>
    <row r="48" spans="1:9" ht="47.25">
      <c r="A48" s="156" t="s">
        <v>38</v>
      </c>
      <c r="B48" s="157">
        <v>1048</v>
      </c>
      <c r="C48" s="161"/>
      <c r="D48" s="161"/>
      <c r="E48" s="161"/>
      <c r="F48" s="161"/>
      <c r="G48" s="161"/>
      <c r="H48" s="161"/>
      <c r="I48" s="161"/>
    </row>
    <row r="49" spans="1:9" ht="48" customHeight="1">
      <c r="A49" s="156" t="s">
        <v>39</v>
      </c>
      <c r="B49" s="157">
        <v>1049</v>
      </c>
      <c r="C49" s="161"/>
      <c r="D49" s="161"/>
      <c r="E49" s="161"/>
      <c r="F49" s="161"/>
      <c r="G49" s="161"/>
      <c r="H49" s="161"/>
      <c r="I49" s="161"/>
    </row>
    <row r="50" spans="1:9" ht="80.25" customHeight="1">
      <c r="A50" s="156" t="s">
        <v>40</v>
      </c>
      <c r="B50" s="157">
        <v>1050</v>
      </c>
      <c r="C50" s="161"/>
      <c r="D50" s="161"/>
      <c r="E50" s="161"/>
      <c r="F50" s="161"/>
      <c r="G50" s="161"/>
      <c r="H50" s="161"/>
      <c r="I50" s="161"/>
    </row>
    <row r="51" spans="1:9" ht="34.5" customHeight="1">
      <c r="A51" s="156" t="s">
        <v>41</v>
      </c>
      <c r="B51" s="165" t="s">
        <v>42</v>
      </c>
      <c r="C51" s="161"/>
      <c r="D51" s="161"/>
      <c r="E51" s="161"/>
      <c r="F51" s="161"/>
      <c r="G51" s="161"/>
      <c r="H51" s="161"/>
      <c r="I51" s="161"/>
    </row>
    <row r="52" spans="1:9" ht="34.5" customHeight="1">
      <c r="A52" s="156" t="s">
        <v>43</v>
      </c>
      <c r="B52" s="157">
        <v>1051</v>
      </c>
      <c r="C52" s="161">
        <f aca="true" t="shared" si="2" ref="C52:I52">C53+C54+C55</f>
        <v>286.03999999999996</v>
      </c>
      <c r="D52" s="159">
        <f t="shared" si="2"/>
        <v>326</v>
      </c>
      <c r="E52" s="159">
        <f t="shared" si="2"/>
        <v>260</v>
      </c>
      <c r="F52" s="159">
        <f>F53+F54+F55</f>
        <v>56</v>
      </c>
      <c r="G52" s="159">
        <f t="shared" si="2"/>
        <v>68</v>
      </c>
      <c r="H52" s="159">
        <f t="shared" si="2"/>
        <v>70</v>
      </c>
      <c r="I52" s="159">
        <f t="shared" si="2"/>
        <v>66</v>
      </c>
    </row>
    <row r="53" spans="1:9" ht="146.25" customHeight="1">
      <c r="A53" s="156" t="s">
        <v>314</v>
      </c>
      <c r="B53" s="157" t="s">
        <v>187</v>
      </c>
      <c r="C53" s="161">
        <v>21.43</v>
      </c>
      <c r="D53" s="161">
        <v>68</v>
      </c>
      <c r="E53" s="159">
        <f>F53+G53+H53+I53</f>
        <v>30</v>
      </c>
      <c r="F53" s="161">
        <v>6</v>
      </c>
      <c r="G53" s="161">
        <v>8</v>
      </c>
      <c r="H53" s="161">
        <v>10</v>
      </c>
      <c r="I53" s="161">
        <v>6</v>
      </c>
    </row>
    <row r="54" spans="1:9" ht="30.75" customHeight="1">
      <c r="A54" s="156" t="s">
        <v>235</v>
      </c>
      <c r="B54" s="157" t="s">
        <v>188</v>
      </c>
      <c r="C54" s="161">
        <v>43.17</v>
      </c>
      <c r="D54" s="161">
        <v>48</v>
      </c>
      <c r="E54" s="159">
        <f>F54+G54+H54+I54</f>
        <v>0</v>
      </c>
      <c r="F54" s="161"/>
      <c r="G54" s="161"/>
      <c r="H54" s="161"/>
      <c r="I54" s="161"/>
    </row>
    <row r="55" spans="1:9" ht="160.5" customHeight="1">
      <c r="A55" s="156" t="s">
        <v>271</v>
      </c>
      <c r="B55" s="157" t="s">
        <v>189</v>
      </c>
      <c r="C55" s="161">
        <f>62.89+23.51+5.12+98.5+0.73+0.66+5.4+24.63</f>
        <v>221.44</v>
      </c>
      <c r="D55" s="161">
        <v>210</v>
      </c>
      <c r="E55" s="159">
        <f>F55+G55+H55+I55</f>
        <v>230</v>
      </c>
      <c r="F55" s="161">
        <v>50</v>
      </c>
      <c r="G55" s="161">
        <v>60</v>
      </c>
      <c r="H55" s="161">
        <v>60</v>
      </c>
      <c r="I55" s="161">
        <v>60</v>
      </c>
    </row>
    <row r="56" spans="1:9" ht="22.5" customHeight="1">
      <c r="A56" s="156" t="s">
        <v>44</v>
      </c>
      <c r="B56" s="157">
        <v>1060</v>
      </c>
      <c r="C56" s="161"/>
      <c r="D56" s="161"/>
      <c r="E56" s="161"/>
      <c r="F56" s="161"/>
      <c r="G56" s="161"/>
      <c r="H56" s="161"/>
      <c r="I56" s="161"/>
    </row>
    <row r="57" spans="1:9" ht="26.25" customHeight="1">
      <c r="A57" s="156" t="s">
        <v>45</v>
      </c>
      <c r="B57" s="157">
        <v>1061</v>
      </c>
      <c r="C57" s="161"/>
      <c r="D57" s="161"/>
      <c r="E57" s="161"/>
      <c r="F57" s="161"/>
      <c r="G57" s="161"/>
      <c r="H57" s="161"/>
      <c r="I57" s="161"/>
    </row>
    <row r="58" spans="1:9" ht="31.5">
      <c r="A58" s="156" t="s">
        <v>46</v>
      </c>
      <c r="B58" s="157">
        <v>1062</v>
      </c>
      <c r="C58" s="161"/>
      <c r="D58" s="161"/>
      <c r="E58" s="161"/>
      <c r="F58" s="161"/>
      <c r="G58" s="161"/>
      <c r="H58" s="161"/>
      <c r="I58" s="161"/>
    </row>
    <row r="59" spans="1:9" ht="19.5" customHeight="1">
      <c r="A59" s="156" t="s">
        <v>29</v>
      </c>
      <c r="B59" s="157">
        <v>1063</v>
      </c>
      <c r="C59" s="161"/>
      <c r="D59" s="161"/>
      <c r="E59" s="161"/>
      <c r="F59" s="161"/>
      <c r="G59" s="161"/>
      <c r="H59" s="161"/>
      <c r="I59" s="161"/>
    </row>
    <row r="60" spans="1:9" ht="18.75" customHeight="1">
      <c r="A60" s="156" t="s">
        <v>30</v>
      </c>
      <c r="B60" s="157">
        <v>1064</v>
      </c>
      <c r="C60" s="161"/>
      <c r="D60" s="161"/>
      <c r="E60" s="161"/>
      <c r="F60" s="161"/>
      <c r="G60" s="161"/>
      <c r="H60" s="161"/>
      <c r="I60" s="161"/>
    </row>
    <row r="61" spans="1:9" ht="33" customHeight="1">
      <c r="A61" s="156" t="s">
        <v>47</v>
      </c>
      <c r="B61" s="157">
        <v>1065</v>
      </c>
      <c r="C61" s="161"/>
      <c r="D61" s="161"/>
      <c r="E61" s="161"/>
      <c r="F61" s="161"/>
      <c r="G61" s="161"/>
      <c r="H61" s="161"/>
      <c r="I61" s="161"/>
    </row>
    <row r="62" spans="1:9" ht="19.5" customHeight="1">
      <c r="A62" s="156" t="s">
        <v>48</v>
      </c>
      <c r="B62" s="157">
        <v>1066</v>
      </c>
      <c r="C62" s="161"/>
      <c r="D62" s="161"/>
      <c r="E62" s="161"/>
      <c r="F62" s="161"/>
      <c r="G62" s="161"/>
      <c r="H62" s="161"/>
      <c r="I62" s="161"/>
    </row>
    <row r="63" spans="1:9" ht="37.5" customHeight="1">
      <c r="A63" s="156" t="s">
        <v>49</v>
      </c>
      <c r="B63" s="157">
        <v>1067</v>
      </c>
      <c r="C63" s="161"/>
      <c r="D63" s="161"/>
      <c r="E63" s="161"/>
      <c r="F63" s="161"/>
      <c r="G63" s="161"/>
      <c r="H63" s="161"/>
      <c r="I63" s="161"/>
    </row>
    <row r="64" spans="1:9" ht="32.25" customHeight="1">
      <c r="A64" s="156" t="s">
        <v>141</v>
      </c>
      <c r="B64" s="157">
        <v>1070</v>
      </c>
      <c r="C64" s="159">
        <f>C65</f>
        <v>775.48</v>
      </c>
      <c r="D64" s="161"/>
      <c r="E64" s="159">
        <f>F64+G64+H64+I64</f>
        <v>3000</v>
      </c>
      <c r="F64" s="159">
        <f>F65</f>
        <v>750</v>
      </c>
      <c r="G64" s="159">
        <f>G65</f>
        <v>750</v>
      </c>
      <c r="H64" s="159">
        <f>H65</f>
        <v>750</v>
      </c>
      <c r="I64" s="159">
        <f>I65</f>
        <v>750</v>
      </c>
    </row>
    <row r="65" spans="1:9" ht="48" customHeight="1">
      <c r="A65" s="160" t="s">
        <v>268</v>
      </c>
      <c r="B65" s="157" t="s">
        <v>315</v>
      </c>
      <c r="C65" s="161">
        <v>775.48</v>
      </c>
      <c r="D65" s="161"/>
      <c r="E65" s="161">
        <f>F65+G65+H65+I65</f>
        <v>3000</v>
      </c>
      <c r="F65" s="161">
        <v>750</v>
      </c>
      <c r="G65" s="161">
        <v>750</v>
      </c>
      <c r="H65" s="161">
        <v>750</v>
      </c>
      <c r="I65" s="161">
        <v>750</v>
      </c>
    </row>
    <row r="66" spans="1:9" ht="33.75" customHeight="1">
      <c r="A66" s="166" t="s">
        <v>50</v>
      </c>
      <c r="B66" s="157">
        <v>1080</v>
      </c>
      <c r="C66" s="159">
        <f>C67</f>
        <v>775.48</v>
      </c>
      <c r="D66" s="161"/>
      <c r="E66" s="159">
        <f>F66+G66+H66+I66</f>
        <v>3000</v>
      </c>
      <c r="F66" s="159">
        <f>F67</f>
        <v>750</v>
      </c>
      <c r="G66" s="159">
        <f>G67</f>
        <v>750</v>
      </c>
      <c r="H66" s="159">
        <f>H67</f>
        <v>750</v>
      </c>
      <c r="I66" s="159">
        <f>I67</f>
        <v>750</v>
      </c>
    </row>
    <row r="67" spans="1:9" ht="55.5" customHeight="1">
      <c r="A67" s="160" t="s">
        <v>268</v>
      </c>
      <c r="B67" s="157" t="s">
        <v>316</v>
      </c>
      <c r="C67" s="161">
        <v>775.48</v>
      </c>
      <c r="D67" s="161"/>
      <c r="E67" s="161">
        <f>F67+G67+H67+I67</f>
        <v>3000</v>
      </c>
      <c r="F67" s="161">
        <v>750</v>
      </c>
      <c r="G67" s="161">
        <v>750</v>
      </c>
      <c r="H67" s="161">
        <v>750</v>
      </c>
      <c r="I67" s="161">
        <v>750</v>
      </c>
    </row>
    <row r="68" spans="1:9" ht="35.25" customHeight="1">
      <c r="A68" s="160" t="s">
        <v>317</v>
      </c>
      <c r="B68" s="157" t="s">
        <v>318</v>
      </c>
      <c r="C68" s="161"/>
      <c r="D68" s="161"/>
      <c r="E68" s="161">
        <f>F68+G68+H68+I68</f>
        <v>943.3199999999999</v>
      </c>
      <c r="F68" s="161">
        <v>421.57</v>
      </c>
      <c r="G68" s="161">
        <v>217.35</v>
      </c>
      <c r="H68" s="161">
        <v>173.96</v>
      </c>
      <c r="I68" s="161">
        <v>130.44</v>
      </c>
    </row>
    <row r="69" spans="1:9" ht="40.5" customHeight="1">
      <c r="A69" s="156" t="s">
        <v>51</v>
      </c>
      <c r="B69" s="167">
        <v>1100</v>
      </c>
      <c r="C69" s="159"/>
      <c r="D69" s="159"/>
      <c r="E69" s="159"/>
      <c r="F69" s="159"/>
      <c r="G69" s="159"/>
      <c r="H69" s="159"/>
      <c r="I69" s="159"/>
    </row>
    <row r="70" spans="1:9" ht="36" customHeight="1">
      <c r="A70" s="156" t="s">
        <v>52</v>
      </c>
      <c r="B70" s="157">
        <v>1110</v>
      </c>
      <c r="C70" s="161"/>
      <c r="D70" s="161"/>
      <c r="E70" s="161"/>
      <c r="F70" s="161"/>
      <c r="G70" s="161"/>
      <c r="H70" s="161"/>
      <c r="I70" s="161"/>
    </row>
    <row r="71" spans="1:9" ht="37.5" customHeight="1">
      <c r="A71" s="156" t="s">
        <v>53</v>
      </c>
      <c r="B71" s="157">
        <v>1120</v>
      </c>
      <c r="C71" s="161"/>
      <c r="D71" s="161"/>
      <c r="E71" s="161"/>
      <c r="F71" s="161"/>
      <c r="G71" s="161"/>
      <c r="H71" s="161"/>
      <c r="I71" s="161"/>
    </row>
    <row r="72" spans="1:9" ht="37.5" customHeight="1">
      <c r="A72" s="156" t="s">
        <v>54</v>
      </c>
      <c r="B72" s="157">
        <v>1130</v>
      </c>
      <c r="C72" s="161"/>
      <c r="D72" s="161"/>
      <c r="E72" s="161"/>
      <c r="F72" s="161"/>
      <c r="G72" s="161"/>
      <c r="H72" s="161"/>
      <c r="I72" s="161"/>
    </row>
    <row r="73" spans="1:9" ht="37.5" customHeight="1">
      <c r="A73" s="156" t="s">
        <v>55</v>
      </c>
      <c r="B73" s="157">
        <v>1140</v>
      </c>
      <c r="C73" s="161"/>
      <c r="D73" s="161"/>
      <c r="E73" s="161"/>
      <c r="F73" s="161"/>
      <c r="G73" s="161"/>
      <c r="H73" s="161"/>
      <c r="I73" s="161"/>
    </row>
    <row r="74" spans="1:9" ht="21" customHeight="1">
      <c r="A74" s="156" t="s">
        <v>174</v>
      </c>
      <c r="B74" s="157">
        <v>1150</v>
      </c>
      <c r="C74" s="159">
        <f>C76+C77+C78+C79+C84+C80+C75+C81+C82+C83</f>
        <v>48737.63</v>
      </c>
      <c r="D74" s="159">
        <f aca="true" t="shared" si="3" ref="D74:I74">D76+D77+D78+D79+D84+D80+D75</f>
        <v>47469.32</v>
      </c>
      <c r="E74" s="159">
        <f>E76+E77+E78+E79+E84+E80+E75</f>
        <v>67975.95</v>
      </c>
      <c r="F74" s="159">
        <f>F76+F77+F78+F79+F84+F80+F75</f>
        <v>12646</v>
      </c>
      <c r="G74" s="159">
        <f t="shared" si="3"/>
        <v>18246.68</v>
      </c>
      <c r="H74" s="159">
        <f>H76+H77+H78+H79+H84+H80+H75</f>
        <v>19230.04</v>
      </c>
      <c r="I74" s="159">
        <f t="shared" si="3"/>
        <v>17853.23</v>
      </c>
    </row>
    <row r="75" spans="1:9" ht="33" customHeight="1">
      <c r="A75" s="160" t="s">
        <v>263</v>
      </c>
      <c r="B75" s="157" t="s">
        <v>214</v>
      </c>
      <c r="C75" s="161">
        <v>7294.1</v>
      </c>
      <c r="D75" s="161">
        <v>0</v>
      </c>
      <c r="E75" s="161">
        <f aca="true" t="shared" si="4" ref="E75:E84">F75+G75+H75+I75</f>
        <v>0</v>
      </c>
      <c r="F75" s="161"/>
      <c r="G75" s="161"/>
      <c r="H75" s="161"/>
      <c r="I75" s="161"/>
    </row>
    <row r="76" spans="1:9" ht="117.75" customHeight="1">
      <c r="A76" s="156" t="s">
        <v>355</v>
      </c>
      <c r="B76" s="157" t="s">
        <v>217</v>
      </c>
      <c r="C76" s="161">
        <v>26145</v>
      </c>
      <c r="D76" s="161">
        <v>34938.32</v>
      </c>
      <c r="E76" s="159">
        <f t="shared" si="4"/>
        <v>49894.95</v>
      </c>
      <c r="F76" s="161">
        <v>10036</v>
      </c>
      <c r="G76" s="161">
        <v>14275.68</v>
      </c>
      <c r="H76" s="161">
        <v>11105.04</v>
      </c>
      <c r="I76" s="161">
        <v>14478.23</v>
      </c>
    </row>
    <row r="77" spans="1:9" ht="45.75" customHeight="1">
      <c r="A77" s="156" t="s">
        <v>259</v>
      </c>
      <c r="B77" s="157" t="s">
        <v>216</v>
      </c>
      <c r="C77" s="161">
        <v>1278.37</v>
      </c>
      <c r="D77" s="161">
        <v>1400</v>
      </c>
      <c r="E77" s="159">
        <f t="shared" si="4"/>
        <v>0</v>
      </c>
      <c r="F77" s="161"/>
      <c r="G77" s="161"/>
      <c r="H77" s="161"/>
      <c r="I77" s="161"/>
    </row>
    <row r="78" spans="1:9" ht="31.5" customHeight="1">
      <c r="A78" s="160" t="s">
        <v>202</v>
      </c>
      <c r="B78" s="157" t="s">
        <v>218</v>
      </c>
      <c r="C78" s="161"/>
      <c r="D78" s="161">
        <v>48</v>
      </c>
      <c r="E78" s="159">
        <f t="shared" si="4"/>
        <v>96</v>
      </c>
      <c r="F78" s="161"/>
      <c r="G78" s="161">
        <v>96</v>
      </c>
      <c r="H78" s="161"/>
      <c r="I78" s="161"/>
    </row>
    <row r="79" spans="1:9" ht="159" customHeight="1">
      <c r="A79" s="160" t="s">
        <v>356</v>
      </c>
      <c r="B79" s="157" t="s">
        <v>219</v>
      </c>
      <c r="C79" s="161">
        <v>6836.16</v>
      </c>
      <c r="D79" s="161">
        <v>8200</v>
      </c>
      <c r="E79" s="159">
        <f t="shared" si="4"/>
        <v>10050</v>
      </c>
      <c r="F79" s="162">
        <v>800</v>
      </c>
      <c r="G79" s="162">
        <f>450+1500</f>
        <v>1950</v>
      </c>
      <c r="H79" s="162">
        <f>2300+3500</f>
        <v>5800</v>
      </c>
      <c r="I79" s="162">
        <v>1500</v>
      </c>
    </row>
    <row r="80" spans="1:9" ht="35.25" customHeight="1">
      <c r="A80" s="160" t="s">
        <v>245</v>
      </c>
      <c r="B80" s="157" t="s">
        <v>215</v>
      </c>
      <c r="C80" s="161">
        <v>81.72</v>
      </c>
      <c r="D80" s="161">
        <v>75</v>
      </c>
      <c r="E80" s="159">
        <f t="shared" si="4"/>
        <v>130</v>
      </c>
      <c r="F80" s="161">
        <v>40</v>
      </c>
      <c r="G80" s="161">
        <v>40</v>
      </c>
      <c r="H80" s="161">
        <v>40</v>
      </c>
      <c r="I80" s="161">
        <v>10</v>
      </c>
    </row>
    <row r="81" spans="1:9" ht="50.25" customHeight="1">
      <c r="A81" s="156" t="s">
        <v>309</v>
      </c>
      <c r="B81" s="157" t="s">
        <v>246</v>
      </c>
      <c r="C81" s="161">
        <v>1143.97</v>
      </c>
      <c r="D81" s="161"/>
      <c r="E81" s="159"/>
      <c r="F81" s="161"/>
      <c r="G81" s="161"/>
      <c r="H81" s="161"/>
      <c r="I81" s="161"/>
    </row>
    <row r="82" spans="1:9" ht="138" customHeight="1">
      <c r="A82" s="173" t="s">
        <v>319</v>
      </c>
      <c r="B82" s="157" t="s">
        <v>320</v>
      </c>
      <c r="C82" s="161">
        <v>19.53</v>
      </c>
      <c r="D82" s="161"/>
      <c r="E82" s="159"/>
      <c r="F82" s="161"/>
      <c r="G82" s="161"/>
      <c r="H82" s="161"/>
      <c r="I82" s="161"/>
    </row>
    <row r="83" spans="1:9" ht="144" customHeight="1">
      <c r="A83" s="173" t="s">
        <v>305</v>
      </c>
      <c r="B83" s="157" t="s">
        <v>321</v>
      </c>
      <c r="C83" s="161">
        <v>3973.19</v>
      </c>
      <c r="D83" s="161"/>
      <c r="E83" s="159"/>
      <c r="F83" s="161"/>
      <c r="G83" s="161"/>
      <c r="H83" s="161"/>
      <c r="I83" s="161"/>
    </row>
    <row r="84" spans="1:9" ht="81.75" customHeight="1">
      <c r="A84" s="160" t="s">
        <v>210</v>
      </c>
      <c r="B84" s="157" t="s">
        <v>322</v>
      </c>
      <c r="C84" s="161">
        <f>1586.7+378.89</f>
        <v>1965.5900000000001</v>
      </c>
      <c r="D84" s="161">
        <v>2808</v>
      </c>
      <c r="E84" s="159">
        <f t="shared" si="4"/>
        <v>7805</v>
      </c>
      <c r="F84" s="162">
        <f>1650+80+40</f>
        <v>1770</v>
      </c>
      <c r="G84" s="162">
        <f>1650+195+40</f>
        <v>1885</v>
      </c>
      <c r="H84" s="162">
        <f>1650+580+55</f>
        <v>2285</v>
      </c>
      <c r="I84" s="162">
        <f>1650+150+65</f>
        <v>1865</v>
      </c>
    </row>
    <row r="85" spans="1:9" ht="18.75" customHeight="1">
      <c r="A85" s="156" t="s">
        <v>19</v>
      </c>
      <c r="B85" s="157">
        <v>1160</v>
      </c>
      <c r="C85" s="159">
        <f>C95+C86+C87+C88+C89+C90+C91+C92+C93+C94+C98+C96+C99+C100+C101</f>
        <v>76747.11</v>
      </c>
      <c r="D85" s="159">
        <f aca="true" t="shared" si="5" ref="D85:I85">D95+D86+D87+D88+D89+D90+D91+D92+D93+D94+D98+D96+D97</f>
        <v>100340.07</v>
      </c>
      <c r="E85" s="159">
        <f>E95+E86+E87+E88+E89+E90+E91+E92+E93+E94+E98+E96+E97</f>
        <v>67775.95</v>
      </c>
      <c r="F85" s="159">
        <f t="shared" si="5"/>
        <v>12606</v>
      </c>
      <c r="G85" s="159">
        <f t="shared" si="5"/>
        <v>18206.68</v>
      </c>
      <c r="H85" s="159">
        <f t="shared" si="5"/>
        <v>19175.04</v>
      </c>
      <c r="I85" s="159">
        <f t="shared" si="5"/>
        <v>17788.23</v>
      </c>
    </row>
    <row r="86" spans="1:9" ht="33.75" customHeight="1">
      <c r="A86" s="156" t="s">
        <v>201</v>
      </c>
      <c r="B86" s="157" t="s">
        <v>220</v>
      </c>
      <c r="C86" s="161">
        <v>1278.37</v>
      </c>
      <c r="D86" s="161">
        <v>1400</v>
      </c>
      <c r="E86" s="159">
        <f aca="true" t="shared" si="6" ref="E86:E98">F86+G86+H86+I86</f>
        <v>0</v>
      </c>
      <c r="F86" s="161"/>
      <c r="G86" s="161"/>
      <c r="H86" s="161"/>
      <c r="I86" s="161"/>
    </row>
    <row r="87" spans="1:9" ht="50.25" customHeight="1">
      <c r="A87" s="160" t="s">
        <v>203</v>
      </c>
      <c r="B87" s="157" t="s">
        <v>226</v>
      </c>
      <c r="C87" s="161"/>
      <c r="D87" s="161">
        <v>48</v>
      </c>
      <c r="E87" s="159">
        <f t="shared" si="6"/>
        <v>96</v>
      </c>
      <c r="F87" s="161"/>
      <c r="G87" s="161">
        <v>96</v>
      </c>
      <c r="H87" s="161"/>
      <c r="I87" s="161"/>
    </row>
    <row r="88" spans="1:9" ht="23.25" customHeight="1">
      <c r="A88" s="156" t="s">
        <v>29</v>
      </c>
      <c r="B88" s="157" t="s">
        <v>221</v>
      </c>
      <c r="C88" s="161">
        <v>42321.76</v>
      </c>
      <c r="D88" s="161">
        <v>57234.2</v>
      </c>
      <c r="E88" s="159">
        <f t="shared" si="6"/>
        <v>25476.309999999998</v>
      </c>
      <c r="F88" s="161">
        <f>4633.46</f>
        <v>4633.46</v>
      </c>
      <c r="G88" s="161">
        <f>4633.46+1013.49+1976.5</f>
        <v>7623.45</v>
      </c>
      <c r="H88" s="161">
        <f>4633.45+1013.49</f>
        <v>5646.94</v>
      </c>
      <c r="I88" s="161">
        <f>4633.46+962.5+1976.5</f>
        <v>7572.46</v>
      </c>
    </row>
    <row r="89" spans="1:9" ht="28.5" customHeight="1">
      <c r="A89" s="156" t="s">
        <v>30</v>
      </c>
      <c r="B89" s="157" t="s">
        <v>227</v>
      </c>
      <c r="C89" s="161">
        <v>9220.99</v>
      </c>
      <c r="D89" s="161">
        <v>12555.92</v>
      </c>
      <c r="E89" s="159">
        <f t="shared" si="6"/>
        <v>5548</v>
      </c>
      <c r="F89" s="161">
        <f>ROUND(F88*21.774/100,2)</f>
        <v>1008.89</v>
      </c>
      <c r="G89" s="161">
        <f>ROUND(G88*21.774/100,2)</f>
        <v>1659.93</v>
      </c>
      <c r="H89" s="161">
        <f>ROUND(H88*21.774/100,2)</f>
        <v>1229.56</v>
      </c>
      <c r="I89" s="161">
        <f>ROUND(I88*21.785/100,2)-0.04</f>
        <v>1649.6200000000001</v>
      </c>
    </row>
    <row r="90" spans="1:9" ht="31.5">
      <c r="A90" s="156" t="s">
        <v>204</v>
      </c>
      <c r="B90" s="157" t="s">
        <v>223</v>
      </c>
      <c r="C90" s="161">
        <v>4184.1</v>
      </c>
      <c r="D90" s="161">
        <v>7300</v>
      </c>
      <c r="E90" s="159">
        <f t="shared" si="6"/>
        <v>5750</v>
      </c>
      <c r="F90" s="161">
        <v>1200</v>
      </c>
      <c r="G90" s="161">
        <v>1600</v>
      </c>
      <c r="H90" s="161">
        <v>1600</v>
      </c>
      <c r="I90" s="161">
        <v>1350</v>
      </c>
    </row>
    <row r="91" spans="1:9" ht="15.75">
      <c r="A91" s="156" t="s">
        <v>205</v>
      </c>
      <c r="B91" s="157" t="s">
        <v>224</v>
      </c>
      <c r="C91" s="161">
        <v>811.14</v>
      </c>
      <c r="D91" s="161">
        <v>1500</v>
      </c>
      <c r="E91" s="159">
        <f t="shared" si="6"/>
        <v>2100</v>
      </c>
      <c r="F91" s="161">
        <v>300</v>
      </c>
      <c r="G91" s="161">
        <v>550</v>
      </c>
      <c r="H91" s="161">
        <v>550</v>
      </c>
      <c r="I91" s="161">
        <v>700</v>
      </c>
    </row>
    <row r="92" spans="1:9" ht="31.5">
      <c r="A92" s="156" t="s">
        <v>206</v>
      </c>
      <c r="B92" s="157" t="s">
        <v>228</v>
      </c>
      <c r="C92" s="161">
        <v>4281.71</v>
      </c>
      <c r="D92" s="161">
        <v>5874.8</v>
      </c>
      <c r="E92" s="159">
        <f t="shared" si="6"/>
        <v>7500.139999999999</v>
      </c>
      <c r="F92" s="161">
        <v>2222.65</v>
      </c>
      <c r="G92" s="161">
        <v>1909.3</v>
      </c>
      <c r="H92" s="161">
        <v>1145.54</v>
      </c>
      <c r="I92" s="161">
        <v>2222.65</v>
      </c>
    </row>
    <row r="93" spans="1:9" ht="38.25" customHeight="1">
      <c r="A93" s="156" t="s">
        <v>274</v>
      </c>
      <c r="B93" s="157" t="s">
        <v>222</v>
      </c>
      <c r="C93" s="161">
        <v>520.28</v>
      </c>
      <c r="D93" s="161">
        <v>652.5</v>
      </c>
      <c r="E93" s="159">
        <f t="shared" si="6"/>
        <v>652.5</v>
      </c>
      <c r="F93" s="161">
        <v>163</v>
      </c>
      <c r="G93" s="161">
        <v>163</v>
      </c>
      <c r="H93" s="161">
        <v>163</v>
      </c>
      <c r="I93" s="161">
        <v>163.5</v>
      </c>
    </row>
    <row r="94" spans="1:9" ht="111.75" customHeight="1">
      <c r="A94" s="156" t="s">
        <v>272</v>
      </c>
      <c r="B94" s="157" t="s">
        <v>225</v>
      </c>
      <c r="C94" s="161">
        <f>5.47+31.12+21.54+30.5+982.25</f>
        <v>1070.88</v>
      </c>
      <c r="D94" s="161">
        <v>958</v>
      </c>
      <c r="E94" s="159">
        <f t="shared" si="6"/>
        <v>1300</v>
      </c>
      <c r="F94" s="161">
        <v>200</v>
      </c>
      <c r="G94" s="161">
        <v>350</v>
      </c>
      <c r="H94" s="161">
        <v>350</v>
      </c>
      <c r="I94" s="161">
        <v>400</v>
      </c>
    </row>
    <row r="95" spans="1:9" ht="33.75" customHeight="1">
      <c r="A95" s="156" t="s">
        <v>207</v>
      </c>
      <c r="B95" s="157" t="s">
        <v>229</v>
      </c>
      <c r="C95" s="161">
        <v>1085.03</v>
      </c>
      <c r="D95" s="161">
        <v>1986.65</v>
      </c>
      <c r="E95" s="159">
        <f t="shared" si="6"/>
        <v>1568</v>
      </c>
      <c r="F95" s="161">
        <v>308</v>
      </c>
      <c r="G95" s="161">
        <v>420</v>
      </c>
      <c r="H95" s="161">
        <v>420</v>
      </c>
      <c r="I95" s="161">
        <v>420</v>
      </c>
    </row>
    <row r="96" spans="1:9" ht="63">
      <c r="A96" s="160" t="s">
        <v>312</v>
      </c>
      <c r="B96" s="157" t="s">
        <v>230</v>
      </c>
      <c r="C96" s="161"/>
      <c r="D96" s="161">
        <v>40</v>
      </c>
      <c r="E96" s="159">
        <f t="shared" si="6"/>
        <v>130</v>
      </c>
      <c r="F96" s="161">
        <v>40</v>
      </c>
      <c r="G96" s="161">
        <v>40</v>
      </c>
      <c r="H96" s="161">
        <v>40</v>
      </c>
      <c r="I96" s="161">
        <v>10</v>
      </c>
    </row>
    <row r="97" spans="1:9" ht="64.5" customHeight="1">
      <c r="A97" s="156" t="s">
        <v>296</v>
      </c>
      <c r="B97" s="157" t="s">
        <v>231</v>
      </c>
      <c r="C97" s="161"/>
      <c r="D97" s="161">
        <v>2590</v>
      </c>
      <c r="E97" s="159">
        <f t="shared" si="6"/>
        <v>7605</v>
      </c>
      <c r="F97" s="162">
        <f>1650+80</f>
        <v>1730</v>
      </c>
      <c r="G97" s="162">
        <f>1650+195</f>
        <v>1845</v>
      </c>
      <c r="H97" s="162">
        <f>1650+580</f>
        <v>2230</v>
      </c>
      <c r="I97" s="162">
        <f>1650+150</f>
        <v>1800</v>
      </c>
    </row>
    <row r="98" spans="1:9" ht="95.25" customHeight="1">
      <c r="A98" s="160" t="s">
        <v>310</v>
      </c>
      <c r="B98" s="157" t="s">
        <v>276</v>
      </c>
      <c r="C98" s="161">
        <v>6836.16</v>
      </c>
      <c r="D98" s="162">
        <v>8200</v>
      </c>
      <c r="E98" s="158">
        <f t="shared" si="6"/>
        <v>10050</v>
      </c>
      <c r="F98" s="162">
        <v>800</v>
      </c>
      <c r="G98" s="162">
        <f>450+1500</f>
        <v>1950</v>
      </c>
      <c r="H98" s="162">
        <f>2300+3500</f>
        <v>5800</v>
      </c>
      <c r="I98" s="162">
        <v>1500</v>
      </c>
    </row>
    <row r="99" spans="1:9" ht="81" customHeight="1">
      <c r="A99" s="173" t="s">
        <v>306</v>
      </c>
      <c r="B99" s="157" t="s">
        <v>323</v>
      </c>
      <c r="C99" s="161">
        <v>1143.97</v>
      </c>
      <c r="D99" s="162"/>
      <c r="E99" s="158"/>
      <c r="F99" s="162"/>
      <c r="G99" s="162"/>
      <c r="H99" s="162"/>
      <c r="I99" s="162"/>
    </row>
    <row r="100" spans="1:9" ht="126" customHeight="1">
      <c r="A100" s="173" t="s">
        <v>307</v>
      </c>
      <c r="B100" s="157" t="s">
        <v>324</v>
      </c>
      <c r="C100" s="161">
        <v>19.53</v>
      </c>
      <c r="D100" s="162"/>
      <c r="E100" s="158"/>
      <c r="F100" s="162"/>
      <c r="G100" s="162"/>
      <c r="H100" s="162"/>
      <c r="I100" s="162"/>
    </row>
    <row r="101" spans="1:9" ht="157.5" customHeight="1">
      <c r="A101" s="173" t="s">
        <v>308</v>
      </c>
      <c r="B101" s="157" t="s">
        <v>325</v>
      </c>
      <c r="C101" s="161">
        <v>3973.19</v>
      </c>
      <c r="D101" s="162"/>
      <c r="E101" s="158"/>
      <c r="F101" s="162"/>
      <c r="G101" s="162"/>
      <c r="H101" s="162"/>
      <c r="I101" s="162"/>
    </row>
    <row r="102" spans="1:9" ht="31.5" customHeight="1">
      <c r="A102" s="138" t="s">
        <v>56</v>
      </c>
      <c r="B102" s="135">
        <v>1170</v>
      </c>
      <c r="C102" s="159"/>
      <c r="D102" s="161">
        <f>D105</f>
        <v>0</v>
      </c>
      <c r="E102" s="137">
        <v>0</v>
      </c>
      <c r="F102" s="137">
        <f>F105</f>
        <v>0</v>
      </c>
      <c r="G102" s="137">
        <f>G105</f>
        <v>0</v>
      </c>
      <c r="H102" s="137">
        <f>H105</f>
        <v>0</v>
      </c>
      <c r="I102" s="137">
        <f>I105</f>
        <v>0</v>
      </c>
    </row>
    <row r="103" spans="1:9" ht="24.75" customHeight="1">
      <c r="A103" s="138" t="s">
        <v>57</v>
      </c>
      <c r="B103" s="134">
        <v>1180</v>
      </c>
      <c r="C103" s="161"/>
      <c r="D103" s="161"/>
      <c r="E103" s="136"/>
      <c r="F103" s="136"/>
      <c r="G103" s="136"/>
      <c r="H103" s="136"/>
      <c r="I103" s="136"/>
    </row>
    <row r="104" spans="1:9" ht="18" customHeight="1">
      <c r="A104" s="138" t="s">
        <v>58</v>
      </c>
      <c r="B104" s="134">
        <v>1181</v>
      </c>
      <c r="C104" s="161"/>
      <c r="D104" s="161"/>
      <c r="E104" s="136"/>
      <c r="F104" s="136"/>
      <c r="G104" s="136"/>
      <c r="H104" s="136"/>
      <c r="I104" s="136"/>
    </row>
    <row r="105" spans="1:9" ht="33.75" customHeight="1">
      <c r="A105" s="138" t="s">
        <v>59</v>
      </c>
      <c r="B105" s="135">
        <v>1200</v>
      </c>
      <c r="C105" s="159">
        <f>C108-C109</f>
        <v>10141.39999999998</v>
      </c>
      <c r="D105" s="161">
        <f aca="true" t="shared" si="7" ref="D105:I105">D108-D109</f>
        <v>0</v>
      </c>
      <c r="E105" s="137">
        <f t="shared" si="7"/>
        <v>0</v>
      </c>
      <c r="F105" s="137">
        <f>F108-F109</f>
        <v>0</v>
      </c>
      <c r="G105" s="137">
        <f>G108-G109</f>
        <v>0</v>
      </c>
      <c r="H105" s="137">
        <f t="shared" si="7"/>
        <v>0</v>
      </c>
      <c r="I105" s="137">
        <f t="shared" si="7"/>
        <v>0</v>
      </c>
    </row>
    <row r="106" spans="1:9" ht="15.75">
      <c r="A106" s="138" t="s">
        <v>60</v>
      </c>
      <c r="B106" s="133">
        <v>1201</v>
      </c>
      <c r="C106" s="161"/>
      <c r="D106" s="161">
        <f aca="true" t="shared" si="8" ref="D106:I106">D105</f>
        <v>0</v>
      </c>
      <c r="E106" s="137">
        <f>E105</f>
        <v>0</v>
      </c>
      <c r="F106" s="137">
        <f t="shared" si="8"/>
        <v>0</v>
      </c>
      <c r="G106" s="137">
        <f t="shared" si="8"/>
        <v>0</v>
      </c>
      <c r="H106" s="137">
        <f t="shared" si="8"/>
        <v>0</v>
      </c>
      <c r="I106" s="137">
        <f t="shared" si="8"/>
        <v>0</v>
      </c>
    </row>
    <row r="107" spans="1:9" ht="15.75">
      <c r="A107" s="138" t="s">
        <v>61</v>
      </c>
      <c r="B107" s="133">
        <v>1202</v>
      </c>
      <c r="C107" s="161"/>
      <c r="D107" s="161"/>
      <c r="E107" s="136"/>
      <c r="F107" s="136"/>
      <c r="G107" s="136"/>
      <c r="H107" s="136"/>
      <c r="I107" s="136"/>
    </row>
    <row r="108" spans="1:9" ht="21.75" customHeight="1">
      <c r="A108" s="138" t="s">
        <v>62</v>
      </c>
      <c r="B108" s="135">
        <v>1210</v>
      </c>
      <c r="C108" s="159">
        <f>C9+C74+C64</f>
        <v>105136.08999999998</v>
      </c>
      <c r="D108" s="159">
        <f>D9+D74</f>
        <v>119224.23999999999</v>
      </c>
      <c r="E108" s="137">
        <f>E9+E74+E64</f>
        <v>149665.33000000002</v>
      </c>
      <c r="F108" s="137">
        <f>F9+F74+F64</f>
        <v>27153.84</v>
      </c>
      <c r="G108" s="137">
        <f>G9+G74+G64</f>
        <v>40778.54000000001</v>
      </c>
      <c r="H108" s="137">
        <f>H9+H74+H64</f>
        <v>41762.03</v>
      </c>
      <c r="I108" s="137">
        <f>I9+I74+I64</f>
        <v>39970.92</v>
      </c>
    </row>
    <row r="109" spans="1:9" ht="22.5" customHeight="1">
      <c r="A109" s="138" t="s">
        <v>63</v>
      </c>
      <c r="B109" s="135">
        <v>1220</v>
      </c>
      <c r="C109" s="159">
        <f>C17+C30+C85</f>
        <v>94994.69</v>
      </c>
      <c r="D109" s="159">
        <f>D17+D30+D85</f>
        <v>119224.24</v>
      </c>
      <c r="E109" s="137">
        <f>E17+E30+E85+E66+E68</f>
        <v>149665.33000000002</v>
      </c>
      <c r="F109" s="137">
        <f>F17+F30+F85+F66+F68</f>
        <v>27153.84</v>
      </c>
      <c r="G109" s="137">
        <f>G17+G30+G85+G66+G68</f>
        <v>40778.54</v>
      </c>
      <c r="H109" s="137">
        <f>H17+H30+H85+H66+H68</f>
        <v>41762.03</v>
      </c>
      <c r="I109" s="137">
        <f>I17+I30+I85+I66+I68</f>
        <v>39970.92</v>
      </c>
    </row>
    <row r="110" spans="1:9" ht="18.75" customHeight="1">
      <c r="A110" s="219" t="s">
        <v>175</v>
      </c>
      <c r="B110" s="219"/>
      <c r="C110" s="219"/>
      <c r="D110" s="219"/>
      <c r="E110" s="219"/>
      <c r="F110" s="219"/>
      <c r="G110" s="219"/>
      <c r="H110" s="219"/>
      <c r="I110" s="219"/>
    </row>
    <row r="111" spans="1:9" ht="33.75" customHeight="1">
      <c r="A111" s="138" t="s">
        <v>176</v>
      </c>
      <c r="B111" s="135">
        <v>1300</v>
      </c>
      <c r="C111" s="161">
        <f>C112+C113</f>
        <v>26423.989999999998</v>
      </c>
      <c r="D111" s="161">
        <f aca="true" t="shared" si="9" ref="D111:I111">D112+D113</f>
        <v>26651.8</v>
      </c>
      <c r="E111" s="137">
        <f>E112+E113</f>
        <v>31750.139999999996</v>
      </c>
      <c r="F111" s="136">
        <f>F112+F113</f>
        <v>5523.49</v>
      </c>
      <c r="G111" s="136">
        <f t="shared" si="9"/>
        <v>7777.26</v>
      </c>
      <c r="H111" s="136">
        <f t="shared" si="9"/>
        <v>10857.939999999999</v>
      </c>
      <c r="I111" s="136">
        <f t="shared" si="9"/>
        <v>7591.450000000001</v>
      </c>
    </row>
    <row r="112" spans="1:9" ht="31.5">
      <c r="A112" s="138" t="s">
        <v>177</v>
      </c>
      <c r="B112" s="139">
        <v>1301</v>
      </c>
      <c r="C112" s="161">
        <v>22142.28</v>
      </c>
      <c r="D112" s="161">
        <v>20777</v>
      </c>
      <c r="E112" s="137">
        <f>F112+G112+H112+I112</f>
        <v>24249.999999999996</v>
      </c>
      <c r="F112" s="136">
        <f>F18+F55+F90+F91+F94+F98+F31</f>
        <v>3300.84</v>
      </c>
      <c r="G112" s="136">
        <f>G18+G55+G90+G91+G94+G98+G31</f>
        <v>5867.96</v>
      </c>
      <c r="H112" s="136">
        <f>H18+H55+H90+H91+H94+H98+H31</f>
        <v>9712.4</v>
      </c>
      <c r="I112" s="136">
        <f>I18+I55+I90+I91+I94+I98+I31</f>
        <v>5368.8</v>
      </c>
    </row>
    <row r="113" spans="1:9" ht="33.75" customHeight="1">
      <c r="A113" s="138" t="s">
        <v>213</v>
      </c>
      <c r="B113" s="139">
        <v>1302</v>
      </c>
      <c r="C113" s="161">
        <v>4281.71</v>
      </c>
      <c r="D113" s="168">
        <f>D92</f>
        <v>5874.8</v>
      </c>
      <c r="E113" s="137">
        <f>F113+G113+H113+I113</f>
        <v>7500.139999999999</v>
      </c>
      <c r="F113" s="169">
        <f>F92</f>
        <v>2222.65</v>
      </c>
      <c r="G113" s="169">
        <f>G92</f>
        <v>1909.3</v>
      </c>
      <c r="H113" s="169">
        <f>H92</f>
        <v>1145.54</v>
      </c>
      <c r="I113" s="169">
        <f>I92</f>
        <v>2222.65</v>
      </c>
    </row>
    <row r="114" spans="1:9" ht="24" customHeight="1">
      <c r="A114" s="138" t="s">
        <v>16</v>
      </c>
      <c r="B114" s="140">
        <v>1310</v>
      </c>
      <c r="C114" s="161">
        <v>50274.74</v>
      </c>
      <c r="D114" s="168">
        <f>D21+D38+D88</f>
        <v>69154.2</v>
      </c>
      <c r="E114" s="137">
        <f>F114+G114+H114+I114</f>
        <v>82851.09</v>
      </c>
      <c r="F114" s="169">
        <f aca="true" t="shared" si="10" ref="F114:I115">F21+F38+F88</f>
        <v>14495.73</v>
      </c>
      <c r="G114" s="169">
        <f t="shared" si="10"/>
        <v>23601.02</v>
      </c>
      <c r="H114" s="169">
        <f t="shared" si="10"/>
        <v>21582.45</v>
      </c>
      <c r="I114" s="169">
        <f t="shared" si="10"/>
        <v>23171.89</v>
      </c>
    </row>
    <row r="115" spans="1:9" ht="29.25" customHeight="1">
      <c r="A115" s="138" t="s">
        <v>17</v>
      </c>
      <c r="B115" s="140">
        <v>1320</v>
      </c>
      <c r="C115" s="161">
        <v>10911.11</v>
      </c>
      <c r="D115" s="161">
        <f>D22+D39+D89</f>
        <v>15171.74</v>
      </c>
      <c r="E115" s="137">
        <f>E22+E39+E89</f>
        <v>18098.95</v>
      </c>
      <c r="F115" s="136">
        <f t="shared" si="10"/>
        <v>3156.2999999999997</v>
      </c>
      <c r="G115" s="136">
        <f t="shared" si="10"/>
        <v>5155.66</v>
      </c>
      <c r="H115" s="136">
        <f t="shared" si="10"/>
        <v>4716.129999999999</v>
      </c>
      <c r="I115" s="136">
        <f t="shared" si="10"/>
        <v>5070.860000000001</v>
      </c>
    </row>
    <row r="116" spans="1:9" ht="21.75" customHeight="1">
      <c r="A116" s="138" t="s">
        <v>178</v>
      </c>
      <c r="B116" s="140">
        <v>1330</v>
      </c>
      <c r="C116" s="161">
        <v>1965.59</v>
      </c>
      <c r="D116" s="168">
        <v>2808</v>
      </c>
      <c r="E116" s="137">
        <f>F116+G116+H116+I116</f>
        <v>7805</v>
      </c>
      <c r="F116" s="169">
        <f>F84</f>
        <v>1770</v>
      </c>
      <c r="G116" s="169">
        <f>G84</f>
        <v>1885</v>
      </c>
      <c r="H116" s="169">
        <f>H84</f>
        <v>2285</v>
      </c>
      <c r="I116" s="169">
        <f>I84</f>
        <v>1865</v>
      </c>
    </row>
    <row r="117" spans="1:9" ht="24.75" customHeight="1">
      <c r="A117" s="138" t="s">
        <v>179</v>
      </c>
      <c r="B117" s="140">
        <v>1340</v>
      </c>
      <c r="C117" s="177">
        <f>4643.78</f>
        <v>4643.78</v>
      </c>
      <c r="D117" s="161">
        <v>5438.5</v>
      </c>
      <c r="E117" s="137">
        <f>F117+G117+H117+I117</f>
        <v>9160.15</v>
      </c>
      <c r="F117" s="136">
        <v>2208.32</v>
      </c>
      <c r="G117" s="136">
        <v>2359.6</v>
      </c>
      <c r="H117" s="136">
        <v>2320.51</v>
      </c>
      <c r="I117" s="136">
        <v>2271.72</v>
      </c>
    </row>
    <row r="118" spans="1:9" ht="21.75" customHeight="1">
      <c r="A118" s="121" t="s">
        <v>180</v>
      </c>
      <c r="B118" s="141">
        <v>1350</v>
      </c>
      <c r="C118" s="159">
        <v>94994.69</v>
      </c>
      <c r="D118" s="159">
        <f aca="true" t="shared" si="11" ref="D118:I118">D111+D114+D115+D116+D117</f>
        <v>119224.24</v>
      </c>
      <c r="E118" s="137">
        <f>E111+E114+E115+E116+E117</f>
        <v>149665.33</v>
      </c>
      <c r="F118" s="137">
        <f t="shared" si="11"/>
        <v>27153.84</v>
      </c>
      <c r="G118" s="137">
        <f t="shared" si="11"/>
        <v>40778.54</v>
      </c>
      <c r="H118" s="137">
        <f t="shared" si="11"/>
        <v>41762.03</v>
      </c>
      <c r="I118" s="137">
        <f t="shared" si="11"/>
        <v>39970.92</v>
      </c>
    </row>
    <row r="119" spans="1:9" ht="42.75" customHeight="1">
      <c r="A119" s="142" t="s">
        <v>260</v>
      </c>
      <c r="B119" s="143"/>
      <c r="C119" s="220" t="s">
        <v>252</v>
      </c>
      <c r="D119" s="221"/>
      <c r="E119" s="221"/>
      <c r="F119" s="144"/>
      <c r="G119" s="222" t="s">
        <v>265</v>
      </c>
      <c r="H119" s="222"/>
      <c r="I119" s="222"/>
    </row>
    <row r="120" spans="1:9" ht="14.25" customHeight="1">
      <c r="A120" s="146" t="s">
        <v>326</v>
      </c>
      <c r="B120" s="145"/>
      <c r="C120" s="223" t="s">
        <v>92</v>
      </c>
      <c r="D120" s="223"/>
      <c r="E120" s="223"/>
      <c r="F120" s="147"/>
      <c r="G120" s="147" t="s">
        <v>91</v>
      </c>
      <c r="I120" s="148"/>
    </row>
    <row r="121" spans="1:9" ht="39" customHeight="1">
      <c r="A121" s="142" t="s">
        <v>248</v>
      </c>
      <c r="C121" s="220" t="s">
        <v>252</v>
      </c>
      <c r="D121" s="221"/>
      <c r="E121" s="221"/>
      <c r="G121" s="224" t="s">
        <v>297</v>
      </c>
      <c r="H121" s="224"/>
      <c r="I121" s="224"/>
    </row>
    <row r="122" spans="1:7" ht="15.75">
      <c r="A122" s="146" t="s">
        <v>326</v>
      </c>
      <c r="C122" s="223" t="s">
        <v>92</v>
      </c>
      <c r="D122" s="223"/>
      <c r="E122" s="223"/>
      <c r="G122" s="147" t="s">
        <v>91</v>
      </c>
    </row>
    <row r="123" spans="1:9" ht="32.25" customHeight="1">
      <c r="A123" s="142" t="s">
        <v>234</v>
      </c>
      <c r="B123" s="143"/>
      <c r="C123" s="220" t="s">
        <v>252</v>
      </c>
      <c r="D123" s="221"/>
      <c r="E123" s="221"/>
      <c r="F123" s="144"/>
      <c r="G123" s="224" t="s">
        <v>298</v>
      </c>
      <c r="H123" s="224"/>
      <c r="I123" s="224"/>
    </row>
    <row r="124" spans="1:9" ht="15.75">
      <c r="A124" s="146" t="s">
        <v>326</v>
      </c>
      <c r="B124" s="145"/>
      <c r="C124" s="223" t="s">
        <v>92</v>
      </c>
      <c r="D124" s="223"/>
      <c r="E124" s="223"/>
      <c r="F124" s="147"/>
      <c r="G124" s="147" t="s">
        <v>91</v>
      </c>
      <c r="I124" s="148"/>
    </row>
  </sheetData>
  <sheetProtection/>
  <mergeCells count="19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A110:I110"/>
    <mergeCell ref="C119:E119"/>
    <mergeCell ref="G119:I119"/>
    <mergeCell ref="C124:E124"/>
    <mergeCell ref="C120:E120"/>
    <mergeCell ref="C121:E121"/>
    <mergeCell ref="G121:I121"/>
    <mergeCell ref="C122:E122"/>
    <mergeCell ref="C123:E123"/>
    <mergeCell ref="G123:I12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view="pageBreakPreview" zoomScaleNormal="130" zoomScaleSheetLayoutView="100" zoomScalePageLayoutView="0" workbookViewId="0" topLeftCell="A1">
      <selection activeCell="H67" sqref="H67"/>
    </sheetView>
  </sheetViews>
  <sheetFormatPr defaultColWidth="9.140625" defaultRowHeight="12.75"/>
  <cols>
    <col min="1" max="1" width="22.421875" style="13" customWidth="1"/>
    <col min="2" max="2" width="6.00390625" style="13" customWidth="1"/>
    <col min="3" max="3" width="9.8515625" style="13" customWidth="1"/>
    <col min="4" max="4" width="10.28125" style="13" customWidth="1"/>
    <col min="5" max="5" width="10.421875" style="13" customWidth="1"/>
    <col min="6" max="6" width="9.57421875" style="13" customWidth="1"/>
    <col min="7" max="7" width="10.003906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226" t="s">
        <v>160</v>
      </c>
      <c r="H1" s="226"/>
      <c r="I1" s="226"/>
    </row>
    <row r="2" spans="1:9" ht="15.75">
      <c r="A2" s="235" t="s">
        <v>64</v>
      </c>
      <c r="B2" s="235"/>
      <c r="C2" s="235"/>
      <c r="D2" s="235"/>
      <c r="E2" s="235"/>
      <c r="F2" s="235"/>
      <c r="G2" s="235"/>
      <c r="H2" s="235"/>
      <c r="I2" s="235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36" t="s">
        <v>1</v>
      </c>
      <c r="B4" s="237" t="s">
        <v>2</v>
      </c>
      <c r="C4" s="237" t="s">
        <v>3</v>
      </c>
      <c r="D4" s="237" t="s">
        <v>4</v>
      </c>
      <c r="E4" s="238" t="s">
        <v>5</v>
      </c>
      <c r="F4" s="238" t="s">
        <v>6</v>
      </c>
      <c r="G4" s="238"/>
      <c r="H4" s="238"/>
      <c r="I4" s="238"/>
    </row>
    <row r="5" spans="1:9" ht="57" customHeight="1">
      <c r="A5" s="236"/>
      <c r="B5" s="237"/>
      <c r="C5" s="237"/>
      <c r="D5" s="237"/>
      <c r="E5" s="238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34" t="s">
        <v>65</v>
      </c>
      <c r="B7" s="234"/>
      <c r="C7" s="234"/>
      <c r="D7" s="234"/>
      <c r="E7" s="234"/>
      <c r="F7" s="234"/>
      <c r="G7" s="234"/>
      <c r="H7" s="234"/>
      <c r="I7" s="234"/>
    </row>
    <row r="8" spans="1:9" ht="88.5" customHeight="1">
      <c r="A8" s="19" t="s">
        <v>66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67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51" customHeight="1">
      <c r="A11" s="19" t="s">
        <v>69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38.25" customHeight="1">
      <c r="A13" s="19" t="s">
        <v>71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15">
      <c r="A15" s="78"/>
      <c r="B15" s="78"/>
      <c r="C15" s="9"/>
      <c r="D15" s="81"/>
      <c r="E15" s="9"/>
      <c r="F15" s="9"/>
      <c r="G15" s="9"/>
      <c r="H15" s="9"/>
      <c r="I15" s="9"/>
    </row>
    <row r="16" spans="1:9" ht="33.75" customHeight="1">
      <c r="A16" s="19" t="s">
        <v>72</v>
      </c>
      <c r="B16" s="5">
        <v>2060</v>
      </c>
      <c r="C16" s="9"/>
      <c r="D16" s="81"/>
      <c r="E16" s="9"/>
      <c r="F16" s="9"/>
      <c r="G16" s="9"/>
      <c r="H16" s="9"/>
      <c r="I16" s="9"/>
    </row>
    <row r="17" spans="1:9" ht="15">
      <c r="A17" s="19"/>
      <c r="B17" s="5"/>
      <c r="C17" s="9"/>
      <c r="D17" s="81"/>
      <c r="E17" s="9"/>
      <c r="F17" s="9"/>
      <c r="G17" s="9"/>
      <c r="H17" s="9"/>
      <c r="I17" s="9"/>
    </row>
    <row r="18" spans="1:9" ht="15">
      <c r="A18" s="19"/>
      <c r="B18" s="5"/>
      <c r="C18" s="9"/>
      <c r="D18" s="81"/>
      <c r="E18" s="9"/>
      <c r="F18" s="9"/>
      <c r="G18" s="9"/>
      <c r="H18" s="9"/>
      <c r="I18" s="9"/>
    </row>
    <row r="19" spans="1:9" ht="74.25" customHeight="1">
      <c r="A19" s="19" t="s">
        <v>73</v>
      </c>
      <c r="B19" s="5">
        <v>2070</v>
      </c>
      <c r="C19" s="9"/>
      <c r="D19" s="81"/>
      <c r="E19" s="9"/>
      <c r="F19" s="9"/>
      <c r="G19" s="9"/>
      <c r="H19" s="9"/>
      <c r="I19" s="9"/>
    </row>
    <row r="20" spans="1:9" ht="25.5" customHeight="1">
      <c r="A20" s="234" t="s">
        <v>74</v>
      </c>
      <c r="B20" s="234"/>
      <c r="C20" s="234"/>
      <c r="D20" s="234"/>
      <c r="E20" s="234"/>
      <c r="F20" s="234"/>
      <c r="G20" s="234"/>
      <c r="H20" s="234"/>
      <c r="I20" s="234"/>
    </row>
    <row r="21" spans="1:9" ht="84.75" customHeight="1">
      <c r="A21" s="18" t="s">
        <v>75</v>
      </c>
      <c r="B21" s="20">
        <v>2110</v>
      </c>
      <c r="C21" s="21"/>
      <c r="D21" s="115">
        <f aca="true" t="shared" si="0" ref="D21:I21">D23</f>
        <v>191.68</v>
      </c>
      <c r="E21" s="115">
        <f t="shared" si="0"/>
        <v>203.39999999999998</v>
      </c>
      <c r="F21" s="115">
        <f t="shared" si="0"/>
        <v>55.3</v>
      </c>
      <c r="G21" s="115">
        <f t="shared" si="0"/>
        <v>46.3</v>
      </c>
      <c r="H21" s="115">
        <f t="shared" si="0"/>
        <v>51.8</v>
      </c>
      <c r="I21" s="115">
        <f t="shared" si="0"/>
        <v>50</v>
      </c>
    </row>
    <row r="22" spans="1:9" ht="29.25" customHeight="1">
      <c r="A22" s="4" t="s">
        <v>76</v>
      </c>
      <c r="B22" s="5">
        <v>2111</v>
      </c>
      <c r="C22" s="9"/>
      <c r="D22" s="81"/>
      <c r="E22" s="9"/>
      <c r="F22" s="9"/>
      <c r="G22" s="9"/>
      <c r="H22" s="9"/>
      <c r="I22" s="9"/>
    </row>
    <row r="23" spans="1:9" ht="67.5" customHeight="1">
      <c r="A23" s="4" t="s">
        <v>161</v>
      </c>
      <c r="B23" s="5">
        <v>2112</v>
      </c>
      <c r="C23" s="9"/>
      <c r="D23" s="81">
        <v>191.68</v>
      </c>
      <c r="E23" s="34">
        <f>F23+G23+H23+I23</f>
        <v>203.39999999999998</v>
      </c>
      <c r="F23" s="34">
        <v>55.3</v>
      </c>
      <c r="G23" s="34">
        <v>46.3</v>
      </c>
      <c r="H23" s="34">
        <v>51.8</v>
      </c>
      <c r="I23" s="34">
        <v>50</v>
      </c>
    </row>
    <row r="24" spans="1:9" ht="69.75" customHeight="1">
      <c r="A24" s="19" t="s">
        <v>162</v>
      </c>
      <c r="B24" s="17">
        <v>2113</v>
      </c>
      <c r="C24" s="9"/>
      <c r="D24" s="81"/>
      <c r="E24" s="9"/>
      <c r="F24" s="9"/>
      <c r="G24" s="9"/>
      <c r="H24" s="9"/>
      <c r="I24" s="9"/>
    </row>
    <row r="25" spans="1:9" ht="24.75" customHeight="1">
      <c r="A25" s="19" t="s">
        <v>77</v>
      </c>
      <c r="B25" s="17">
        <v>2114</v>
      </c>
      <c r="C25" s="9"/>
      <c r="D25" s="81"/>
      <c r="E25" s="9"/>
      <c r="F25" s="9"/>
      <c r="G25" s="9"/>
      <c r="H25" s="9"/>
      <c r="I25" s="9"/>
    </row>
    <row r="26" spans="1:9" ht="39.75" customHeight="1">
      <c r="A26" s="19" t="s">
        <v>78</v>
      </c>
      <c r="B26" s="17">
        <v>2115</v>
      </c>
      <c r="C26" s="9"/>
      <c r="D26" s="81"/>
      <c r="E26" s="9"/>
      <c r="F26" s="9"/>
      <c r="G26" s="9"/>
      <c r="H26" s="9"/>
      <c r="I26" s="9"/>
    </row>
    <row r="27" spans="1:9" ht="36.75" customHeight="1">
      <c r="A27" s="19" t="s">
        <v>79</v>
      </c>
      <c r="B27" s="17">
        <v>2116</v>
      </c>
      <c r="C27" s="21"/>
      <c r="D27" s="84"/>
      <c r="E27" s="9"/>
      <c r="F27" s="21"/>
      <c r="G27" s="21"/>
      <c r="H27" s="21"/>
      <c r="I27" s="21"/>
    </row>
    <row r="28" spans="1:9" ht="15">
      <c r="A28" s="19"/>
      <c r="B28" s="17"/>
      <c r="C28" s="21"/>
      <c r="D28" s="84"/>
      <c r="E28" s="9"/>
      <c r="F28" s="21"/>
      <c r="G28" s="21"/>
      <c r="H28" s="21"/>
      <c r="I28" s="21"/>
    </row>
    <row r="29" spans="1:9" ht="15">
      <c r="A29" s="19"/>
      <c r="B29" s="17"/>
      <c r="C29" s="21"/>
      <c r="D29" s="84"/>
      <c r="E29" s="9"/>
      <c r="F29" s="21"/>
      <c r="G29" s="21"/>
      <c r="H29" s="21"/>
      <c r="I29" s="21"/>
    </row>
    <row r="30" spans="1:9" ht="87.75" customHeight="1">
      <c r="A30" s="18" t="s">
        <v>80</v>
      </c>
      <c r="B30" s="22">
        <v>2120</v>
      </c>
      <c r="C30" s="21"/>
      <c r="D30" s="115">
        <f aca="true" t="shared" si="1" ref="D30:I30">D31+D32</f>
        <v>7928.11</v>
      </c>
      <c r="E30" s="126">
        <f t="shared" si="1"/>
        <v>8320</v>
      </c>
      <c r="F30" s="126">
        <f t="shared" si="1"/>
        <v>1979.4</v>
      </c>
      <c r="G30" s="126">
        <f t="shared" si="1"/>
        <v>2172.9</v>
      </c>
      <c r="H30" s="126">
        <f t="shared" si="1"/>
        <v>2173.9</v>
      </c>
      <c r="I30" s="126">
        <f t="shared" si="1"/>
        <v>1993.8</v>
      </c>
    </row>
    <row r="31" spans="1:9" ht="37.5" customHeight="1">
      <c r="A31" s="19" t="s">
        <v>78</v>
      </c>
      <c r="B31" s="17">
        <v>2121</v>
      </c>
      <c r="C31" s="9"/>
      <c r="D31" s="81">
        <v>7829.08</v>
      </c>
      <c r="E31" s="116">
        <f>F31+G31+H31+I31</f>
        <v>8272</v>
      </c>
      <c r="F31" s="34">
        <v>1967.4</v>
      </c>
      <c r="G31" s="34">
        <v>2160.9</v>
      </c>
      <c r="H31" s="34">
        <v>2161.9</v>
      </c>
      <c r="I31" s="34">
        <v>1981.8</v>
      </c>
    </row>
    <row r="32" spans="1:9" ht="21" customHeight="1">
      <c r="A32" s="19" t="s">
        <v>81</v>
      </c>
      <c r="B32" s="17">
        <v>2122</v>
      </c>
      <c r="C32" s="9"/>
      <c r="D32" s="81">
        <v>99.03</v>
      </c>
      <c r="E32" s="116">
        <f>F32+G32+H32+I32</f>
        <v>48</v>
      </c>
      <c r="F32" s="116">
        <v>12</v>
      </c>
      <c r="G32" s="116">
        <v>12</v>
      </c>
      <c r="H32" s="116">
        <v>12</v>
      </c>
      <c r="I32" s="116">
        <v>12</v>
      </c>
    </row>
    <row r="33" spans="1:9" ht="18.75" customHeight="1">
      <c r="A33" s="19" t="s">
        <v>82</v>
      </c>
      <c r="B33" s="17">
        <v>2123</v>
      </c>
      <c r="C33" s="9"/>
      <c r="D33" s="81"/>
      <c r="E33" s="34"/>
      <c r="F33" s="113"/>
      <c r="G33" s="113"/>
      <c r="H33" s="113"/>
      <c r="I33" s="113"/>
    </row>
    <row r="34" spans="1:9" ht="39.75" customHeight="1">
      <c r="A34" s="19" t="s">
        <v>79</v>
      </c>
      <c r="B34" s="17">
        <v>2124</v>
      </c>
      <c r="C34" s="9"/>
      <c r="D34" s="81"/>
      <c r="E34" s="9"/>
      <c r="F34" s="9"/>
      <c r="G34" s="9"/>
      <c r="H34" s="9"/>
      <c r="I34" s="9"/>
    </row>
    <row r="36" spans="1:9" ht="15">
      <c r="A36" s="19"/>
      <c r="B36" s="17"/>
      <c r="C36" s="9"/>
      <c r="D36" s="81"/>
      <c r="E36" s="9"/>
      <c r="F36" s="9"/>
      <c r="G36" s="9"/>
      <c r="H36" s="9"/>
      <c r="I36" s="9"/>
    </row>
    <row r="37" spans="1:9" ht="72" customHeight="1">
      <c r="A37" s="18" t="s">
        <v>83</v>
      </c>
      <c r="B37" s="22">
        <v>2130</v>
      </c>
      <c r="C37" s="21"/>
      <c r="D37" s="84">
        <f aca="true" t="shared" si="2" ref="D37:I37">D39+D41</f>
        <v>10191.24</v>
      </c>
      <c r="E37" s="84">
        <f t="shared" si="2"/>
        <v>10604.380000000001</v>
      </c>
      <c r="F37" s="84">
        <f t="shared" si="2"/>
        <v>2525.52</v>
      </c>
      <c r="G37" s="84">
        <f t="shared" si="2"/>
        <v>2765.17</v>
      </c>
      <c r="H37" s="84">
        <f t="shared" si="2"/>
        <v>2766.46</v>
      </c>
      <c r="I37" s="84">
        <f t="shared" si="2"/>
        <v>2547.23</v>
      </c>
    </row>
    <row r="38" spans="1:9" ht="22.5" customHeight="1">
      <c r="A38" s="19" t="s">
        <v>84</v>
      </c>
      <c r="B38" s="17">
        <v>2131</v>
      </c>
      <c r="C38" s="9"/>
      <c r="D38" s="82"/>
      <c r="E38" s="81"/>
      <c r="F38" s="81"/>
      <c r="G38" s="81"/>
      <c r="H38" s="81"/>
      <c r="I38" s="81"/>
    </row>
    <row r="39" spans="1:9" ht="66.75" customHeight="1">
      <c r="A39" s="19" t="s">
        <v>85</v>
      </c>
      <c r="B39" s="17">
        <v>2132</v>
      </c>
      <c r="C39" s="9"/>
      <c r="D39" s="81">
        <v>9538.82</v>
      </c>
      <c r="E39" s="81">
        <f>F39+G39+H39+I39</f>
        <v>9914.880000000001</v>
      </c>
      <c r="F39" s="81">
        <v>2361.52</v>
      </c>
      <c r="G39" s="81">
        <v>2585.07</v>
      </c>
      <c r="H39" s="81">
        <v>2586.26</v>
      </c>
      <c r="I39" s="81">
        <v>2382.03</v>
      </c>
    </row>
    <row r="40" spans="1:9" ht="36.75" customHeight="1">
      <c r="A40" s="19" t="s">
        <v>86</v>
      </c>
      <c r="B40" s="17">
        <v>2133</v>
      </c>
      <c r="C40" s="9"/>
      <c r="D40" s="81"/>
      <c r="E40" s="88"/>
      <c r="F40" s="88"/>
      <c r="G40" s="88"/>
      <c r="H40" s="88"/>
      <c r="I40" s="88"/>
    </row>
    <row r="41" spans="1:9" ht="27" customHeight="1">
      <c r="A41" s="19" t="s">
        <v>247</v>
      </c>
      <c r="B41" s="17"/>
      <c r="C41" s="9"/>
      <c r="D41" s="81">
        <v>652.42</v>
      </c>
      <c r="E41" s="81">
        <f>F41+G41+H41+I41</f>
        <v>689.5</v>
      </c>
      <c r="F41" s="81">
        <v>164</v>
      </c>
      <c r="G41" s="81">
        <v>180.1</v>
      </c>
      <c r="H41" s="81">
        <v>180.2</v>
      </c>
      <c r="I41" s="81">
        <v>165.2</v>
      </c>
    </row>
    <row r="42" spans="1:9" ht="15">
      <c r="A42" s="19"/>
      <c r="B42" s="17"/>
      <c r="C42" s="9"/>
      <c r="D42" s="81"/>
      <c r="E42" s="85"/>
      <c r="F42" s="85"/>
      <c r="G42" s="85"/>
      <c r="H42" s="85"/>
      <c r="I42" s="85"/>
    </row>
    <row r="43" spans="1:9" ht="60" customHeight="1">
      <c r="A43" s="18" t="s">
        <v>87</v>
      </c>
      <c r="B43" s="22">
        <v>2140</v>
      </c>
      <c r="C43" s="21"/>
      <c r="D43" s="115">
        <f>D46+D47</f>
        <v>2.57</v>
      </c>
      <c r="E43" s="115"/>
      <c r="F43" s="115"/>
      <c r="G43" s="21"/>
      <c r="H43" s="21"/>
      <c r="I43" s="21"/>
    </row>
    <row r="44" spans="1:9" ht="120" customHeight="1">
      <c r="A44" s="19" t="s">
        <v>88</v>
      </c>
      <c r="B44" s="17">
        <v>2141</v>
      </c>
      <c r="C44" s="9"/>
      <c r="D44" s="81"/>
      <c r="E44" s="9"/>
      <c r="F44" s="9"/>
      <c r="G44" s="9"/>
      <c r="H44" s="9"/>
      <c r="I44" s="9"/>
    </row>
    <row r="45" spans="1:9" ht="46.5" customHeight="1">
      <c r="A45" s="19" t="s">
        <v>89</v>
      </c>
      <c r="B45" s="17">
        <v>2142</v>
      </c>
      <c r="C45" s="9"/>
      <c r="D45" s="81"/>
      <c r="E45" s="9"/>
      <c r="F45" s="9"/>
      <c r="G45" s="9"/>
      <c r="H45" s="9"/>
      <c r="I45" s="9"/>
    </row>
    <row r="46" spans="1:9" ht="60.75" customHeight="1">
      <c r="A46" s="19" t="s">
        <v>239</v>
      </c>
      <c r="B46" s="17" t="s">
        <v>237</v>
      </c>
      <c r="C46" s="9"/>
      <c r="D46" s="34">
        <v>0.57</v>
      </c>
      <c r="E46" s="34">
        <f>F46</f>
        <v>0</v>
      </c>
      <c r="F46" s="34"/>
      <c r="G46" s="9"/>
      <c r="H46" s="9"/>
      <c r="I46" s="9"/>
    </row>
    <row r="47" spans="1:9" ht="81.75" customHeight="1">
      <c r="A47" s="19" t="s">
        <v>240</v>
      </c>
      <c r="B47" s="17" t="s">
        <v>238</v>
      </c>
      <c r="C47" s="9"/>
      <c r="D47" s="81">
        <v>2</v>
      </c>
      <c r="E47" s="81">
        <f>F47</f>
        <v>0</v>
      </c>
      <c r="F47" s="81"/>
      <c r="G47" s="9"/>
      <c r="H47" s="9"/>
      <c r="I47" s="9"/>
    </row>
    <row r="48" spans="1:9" ht="15">
      <c r="A48" s="19"/>
      <c r="B48" s="17"/>
      <c r="C48" s="9"/>
      <c r="D48" s="81"/>
      <c r="E48" s="9"/>
      <c r="F48" s="9"/>
      <c r="G48" s="9"/>
      <c r="H48" s="9"/>
      <c r="I48" s="9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15">
      <c r="A51" s="23"/>
      <c r="B51" s="14"/>
      <c r="C51" s="24"/>
      <c r="D51" s="25"/>
      <c r="E51" s="24"/>
      <c r="F51" s="25"/>
      <c r="G51" s="25"/>
      <c r="H51" s="25"/>
      <c r="I51" s="25"/>
    </row>
    <row r="52" spans="1:9" ht="30">
      <c r="A52" s="114" t="s">
        <v>257</v>
      </c>
      <c r="B52" s="27"/>
      <c r="C52" s="231" t="s">
        <v>90</v>
      </c>
      <c r="D52" s="232"/>
      <c r="E52" s="232"/>
      <c r="F52" s="28"/>
      <c r="G52" s="233" t="s">
        <v>249</v>
      </c>
      <c r="H52" s="233"/>
      <c r="I52" s="233"/>
    </row>
    <row r="53" spans="1:9" ht="15">
      <c r="A53" s="30" t="s">
        <v>93</v>
      </c>
      <c r="B53" s="29"/>
      <c r="C53" s="230" t="s">
        <v>92</v>
      </c>
      <c r="D53" s="230"/>
      <c r="E53" s="230"/>
      <c r="F53" s="31"/>
      <c r="G53" s="31" t="s">
        <v>91</v>
      </c>
      <c r="I53" s="32"/>
    </row>
    <row r="55" spans="1:9" ht="33" customHeight="1">
      <c r="A55" s="114" t="s">
        <v>248</v>
      </c>
      <c r="C55" s="231" t="s">
        <v>90</v>
      </c>
      <c r="D55" s="232"/>
      <c r="E55" s="232"/>
      <c r="G55" s="233" t="s">
        <v>250</v>
      </c>
      <c r="H55" s="233"/>
      <c r="I55" s="233"/>
    </row>
    <row r="56" spans="1:7" ht="19.5" customHeight="1">
      <c r="A56" s="114"/>
      <c r="C56" s="230" t="s">
        <v>92</v>
      </c>
      <c r="D56" s="230"/>
      <c r="E56" s="230"/>
      <c r="G56" s="31" t="s">
        <v>91</v>
      </c>
    </row>
    <row r="57" spans="1:9" ht="30">
      <c r="A57" s="114" t="s">
        <v>255</v>
      </c>
      <c r="B57" s="27"/>
      <c r="C57" s="231" t="s">
        <v>90</v>
      </c>
      <c r="D57" s="232"/>
      <c r="E57" s="232"/>
      <c r="F57" s="28"/>
      <c r="G57" s="233" t="s">
        <v>264</v>
      </c>
      <c r="H57" s="233"/>
      <c r="I57" s="233"/>
    </row>
    <row r="58" spans="1:9" ht="15">
      <c r="A58" s="124" t="s">
        <v>93</v>
      </c>
      <c r="B58" s="29"/>
      <c r="C58" s="230" t="s">
        <v>92</v>
      </c>
      <c r="D58" s="230"/>
      <c r="E58" s="230"/>
      <c r="F58" s="31"/>
      <c r="G58" s="31" t="s">
        <v>91</v>
      </c>
      <c r="I58" s="32"/>
    </row>
  </sheetData>
  <sheetProtection/>
  <mergeCells count="19">
    <mergeCell ref="C56:E56"/>
    <mergeCell ref="C57:E57"/>
    <mergeCell ref="G57:I57"/>
    <mergeCell ref="C58:E58"/>
    <mergeCell ref="G1:I1"/>
    <mergeCell ref="A2:I2"/>
    <mergeCell ref="A4:A5"/>
    <mergeCell ref="B4:B5"/>
    <mergeCell ref="C4:C5"/>
    <mergeCell ref="D4:D5"/>
    <mergeCell ref="E4:E5"/>
    <mergeCell ref="F4:I4"/>
    <mergeCell ref="C53:E53"/>
    <mergeCell ref="C55:E55"/>
    <mergeCell ref="G55:I55"/>
    <mergeCell ref="A7:I7"/>
    <mergeCell ref="A20:I20"/>
    <mergeCell ref="C52:E52"/>
    <mergeCell ref="G52:I52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"/>
  <sheetViews>
    <sheetView zoomScaleSheetLayoutView="100" workbookViewId="0" topLeftCell="A31">
      <selection activeCell="G1" sqref="G1:I1"/>
    </sheetView>
  </sheetViews>
  <sheetFormatPr defaultColWidth="9.140625" defaultRowHeight="12.75"/>
  <cols>
    <col min="1" max="1" width="27.421875" style="13" customWidth="1"/>
    <col min="2" max="2" width="6.00390625" style="13" customWidth="1"/>
    <col min="3" max="3" width="10.140625" style="13" customWidth="1"/>
    <col min="4" max="4" width="10.421875" style="13" customWidth="1"/>
    <col min="5" max="5" width="9.8515625" style="13" customWidth="1"/>
    <col min="6" max="7" width="9.140625" style="13" customWidth="1"/>
    <col min="8" max="8" width="8.8515625" style="13" customWidth="1"/>
    <col min="9" max="9" width="9.00390625" style="13" customWidth="1"/>
    <col min="10" max="16384" width="9.140625" style="13" customWidth="1"/>
  </cols>
  <sheetData>
    <row r="1" spans="7:9" ht="15.75">
      <c r="G1" s="226" t="s">
        <v>160</v>
      </c>
      <c r="H1" s="226"/>
      <c r="I1" s="226"/>
    </row>
    <row r="2" spans="1:9" ht="15.75">
      <c r="A2" s="235" t="s">
        <v>64</v>
      </c>
      <c r="B2" s="235"/>
      <c r="C2" s="235"/>
      <c r="D2" s="235"/>
      <c r="E2" s="235"/>
      <c r="F2" s="235"/>
      <c r="G2" s="235"/>
      <c r="H2" s="235"/>
      <c r="I2" s="235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36" t="s">
        <v>1</v>
      </c>
      <c r="B4" s="237" t="s">
        <v>2</v>
      </c>
      <c r="C4" s="237" t="s">
        <v>350</v>
      </c>
      <c r="D4" s="237" t="s">
        <v>351</v>
      </c>
      <c r="E4" s="238" t="s">
        <v>349</v>
      </c>
      <c r="F4" s="238" t="s">
        <v>6</v>
      </c>
      <c r="G4" s="238"/>
      <c r="H4" s="238"/>
      <c r="I4" s="238"/>
    </row>
    <row r="5" spans="1:9" ht="51.75" customHeight="1">
      <c r="A5" s="236"/>
      <c r="B5" s="237"/>
      <c r="C5" s="237"/>
      <c r="D5" s="237"/>
      <c r="E5" s="238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34" t="s">
        <v>65</v>
      </c>
      <c r="B7" s="234"/>
      <c r="C7" s="234"/>
      <c r="D7" s="234"/>
      <c r="E7" s="234"/>
      <c r="F7" s="234"/>
      <c r="G7" s="234"/>
      <c r="H7" s="234"/>
      <c r="I7" s="234"/>
    </row>
    <row r="8" spans="1:9" ht="61.5" customHeight="1">
      <c r="A8" s="19" t="s">
        <v>66</v>
      </c>
      <c r="B8" s="5">
        <v>2000</v>
      </c>
      <c r="C8" s="150">
        <v>37007.09</v>
      </c>
      <c r="D8" s="150"/>
      <c r="E8" s="9"/>
      <c r="F8" s="9"/>
      <c r="G8" s="9"/>
      <c r="H8" s="9"/>
      <c r="I8" s="9"/>
    </row>
    <row r="9" spans="1:9" ht="60.75" customHeight="1">
      <c r="A9" s="19" t="s">
        <v>67</v>
      </c>
      <c r="B9" s="5">
        <v>2010</v>
      </c>
      <c r="C9" s="178"/>
      <c r="D9" s="150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178"/>
      <c r="D10" s="150"/>
      <c r="E10" s="9"/>
      <c r="F10" s="9"/>
      <c r="G10" s="9"/>
      <c r="H10" s="9"/>
      <c r="I10" s="9"/>
    </row>
    <row r="11" spans="1:9" ht="30.75" customHeight="1">
      <c r="A11" s="19" t="s">
        <v>69</v>
      </c>
      <c r="B11" s="5">
        <v>2031</v>
      </c>
      <c r="C11" s="178"/>
      <c r="D11" s="150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178"/>
      <c r="D12" s="150"/>
      <c r="E12" s="21"/>
      <c r="F12" s="21"/>
      <c r="G12" s="21"/>
      <c r="H12" s="21"/>
      <c r="I12" s="21"/>
    </row>
    <row r="13" spans="1:9" ht="22.5" customHeight="1">
      <c r="A13" s="19" t="s">
        <v>71</v>
      </c>
      <c r="B13" s="5">
        <v>2050</v>
      </c>
      <c r="C13" s="178"/>
      <c r="D13" s="150"/>
      <c r="E13" s="9"/>
      <c r="F13" s="9"/>
      <c r="G13" s="9"/>
      <c r="H13" s="9"/>
      <c r="I13" s="9"/>
    </row>
    <row r="14" spans="1:9" ht="15">
      <c r="A14" s="19"/>
      <c r="B14" s="5"/>
      <c r="C14" s="178"/>
      <c r="D14" s="150"/>
      <c r="E14" s="9"/>
      <c r="F14" s="9"/>
      <c r="G14" s="9"/>
      <c r="H14" s="9"/>
      <c r="I14" s="9"/>
    </row>
    <row r="15" spans="1:9" ht="15.75" customHeight="1">
      <c r="A15" s="19" t="s">
        <v>72</v>
      </c>
      <c r="B15" s="5">
        <v>2060</v>
      </c>
      <c r="C15" s="178"/>
      <c r="D15" s="150"/>
      <c r="E15" s="9"/>
      <c r="F15" s="9"/>
      <c r="G15" s="9"/>
      <c r="H15" s="9"/>
      <c r="I15" s="9"/>
    </row>
    <row r="16" spans="1:9" ht="15">
      <c r="A16" s="19"/>
      <c r="B16" s="5"/>
      <c r="C16" s="178"/>
      <c r="D16" s="150"/>
      <c r="E16" s="9"/>
      <c r="F16" s="9"/>
      <c r="G16" s="9"/>
      <c r="H16" s="9"/>
      <c r="I16" s="9"/>
    </row>
    <row r="17" spans="1:9" ht="60.75" customHeight="1">
      <c r="A17" s="19" t="s">
        <v>73</v>
      </c>
      <c r="B17" s="5">
        <v>2070</v>
      </c>
      <c r="C17" s="150">
        <v>26866.5</v>
      </c>
      <c r="D17" s="150"/>
      <c r="E17" s="9"/>
      <c r="F17" s="9"/>
      <c r="G17" s="9"/>
      <c r="H17" s="9"/>
      <c r="I17" s="9"/>
    </row>
    <row r="18" spans="1:9" ht="25.5" customHeight="1">
      <c r="A18" s="234" t="s">
        <v>74</v>
      </c>
      <c r="B18" s="234"/>
      <c r="C18" s="234"/>
      <c r="D18" s="234"/>
      <c r="E18" s="234"/>
      <c r="F18" s="234"/>
      <c r="G18" s="234"/>
      <c r="H18" s="234"/>
      <c r="I18" s="234"/>
    </row>
    <row r="19" spans="1:9" ht="72" customHeight="1">
      <c r="A19" s="18" t="s">
        <v>75</v>
      </c>
      <c r="B19" s="20">
        <v>2110</v>
      </c>
      <c r="C19" s="179">
        <f>C21</f>
        <v>371.3</v>
      </c>
      <c r="D19" s="179">
        <f aca="true" t="shared" si="0" ref="D19:I19">D21</f>
        <v>642.3</v>
      </c>
      <c r="E19" s="179">
        <f t="shared" si="0"/>
        <v>1672.8700000000001</v>
      </c>
      <c r="F19" s="179">
        <f t="shared" si="0"/>
        <v>416.7</v>
      </c>
      <c r="G19" s="179">
        <f t="shared" si="0"/>
        <v>418.43</v>
      </c>
      <c r="H19" s="179">
        <f t="shared" si="0"/>
        <v>418.46000000000004</v>
      </c>
      <c r="I19" s="179">
        <f t="shared" si="0"/>
        <v>419.28000000000003</v>
      </c>
    </row>
    <row r="20" spans="1:9" ht="29.25" customHeight="1">
      <c r="A20" s="4" t="s">
        <v>76</v>
      </c>
      <c r="B20" s="5">
        <v>2111</v>
      </c>
      <c r="C20" s="178"/>
      <c r="D20" s="150"/>
      <c r="E20" s="178"/>
      <c r="F20" s="9"/>
      <c r="G20" s="9"/>
      <c r="H20" s="9"/>
      <c r="I20" s="9"/>
    </row>
    <row r="21" spans="1:9" ht="49.5" customHeight="1">
      <c r="A21" s="4" t="s">
        <v>161</v>
      </c>
      <c r="B21" s="5">
        <v>2112</v>
      </c>
      <c r="C21" s="152">
        <v>371.3</v>
      </c>
      <c r="D21" s="150">
        <v>642.3</v>
      </c>
      <c r="E21" s="179">
        <f>F21+G21+H21+I21</f>
        <v>1672.8700000000001</v>
      </c>
      <c r="F21" s="152">
        <v>416.7</v>
      </c>
      <c r="G21" s="152">
        <f>417.33+1.1</f>
        <v>418.43</v>
      </c>
      <c r="H21" s="152">
        <f>417.3+1.16</f>
        <v>418.46000000000004</v>
      </c>
      <c r="I21" s="152">
        <f>417.99+1.29</f>
        <v>419.28000000000003</v>
      </c>
    </row>
    <row r="22" spans="1:9" ht="47.25" customHeight="1">
      <c r="A22" s="19" t="s">
        <v>162</v>
      </c>
      <c r="B22" s="17">
        <v>2113</v>
      </c>
      <c r="C22" s="178"/>
      <c r="D22" s="150"/>
      <c r="E22" s="178"/>
      <c r="F22" s="9"/>
      <c r="G22" s="9"/>
      <c r="H22" s="9"/>
      <c r="I22" s="9"/>
    </row>
    <row r="23" spans="1:9" ht="16.5" customHeight="1">
      <c r="A23" s="19" t="s">
        <v>77</v>
      </c>
      <c r="B23" s="17">
        <v>2114</v>
      </c>
      <c r="C23" s="178"/>
      <c r="D23" s="150"/>
      <c r="E23" s="178"/>
      <c r="F23" s="9"/>
      <c r="G23" s="9"/>
      <c r="H23" s="9"/>
      <c r="I23" s="9"/>
    </row>
    <row r="24" spans="1:9" ht="29.25" customHeight="1">
      <c r="A24" s="19" t="s">
        <v>78</v>
      </c>
      <c r="B24" s="17">
        <v>2115</v>
      </c>
      <c r="C24" s="178"/>
      <c r="D24" s="150"/>
      <c r="E24" s="178"/>
      <c r="F24" s="9"/>
      <c r="G24" s="9"/>
      <c r="H24" s="9"/>
      <c r="I24" s="9"/>
    </row>
    <row r="25" spans="1:9" ht="29.25" customHeight="1">
      <c r="A25" s="19" t="s">
        <v>79</v>
      </c>
      <c r="B25" s="17">
        <v>2116</v>
      </c>
      <c r="C25" s="180"/>
      <c r="D25" s="181"/>
      <c r="E25" s="178"/>
      <c r="F25" s="21"/>
      <c r="G25" s="21"/>
      <c r="H25" s="21"/>
      <c r="I25" s="21"/>
    </row>
    <row r="26" spans="1:9" ht="62.25" customHeight="1">
      <c r="A26" s="18" t="s">
        <v>80</v>
      </c>
      <c r="B26" s="22">
        <v>2120</v>
      </c>
      <c r="C26" s="182">
        <f>C27+C28+C29</f>
        <v>9359.59</v>
      </c>
      <c r="D26" s="181">
        <f aca="true" t="shared" si="1" ref="D26:I26">D27+D28</f>
        <v>12495.76</v>
      </c>
      <c r="E26" s="182">
        <f t="shared" si="1"/>
        <v>14961.2</v>
      </c>
      <c r="F26" s="126">
        <f t="shared" si="1"/>
        <v>2621.23</v>
      </c>
      <c r="G26" s="126">
        <f t="shared" si="1"/>
        <v>4260.18</v>
      </c>
      <c r="H26" s="126">
        <f t="shared" si="1"/>
        <v>3896.84</v>
      </c>
      <c r="I26" s="126">
        <f t="shared" si="1"/>
        <v>4182.95</v>
      </c>
    </row>
    <row r="27" spans="1:9" ht="37.5" customHeight="1">
      <c r="A27" s="19" t="s">
        <v>78</v>
      </c>
      <c r="B27" s="17">
        <v>2121</v>
      </c>
      <c r="C27" s="152">
        <v>9107.92</v>
      </c>
      <c r="D27" s="150">
        <v>12447.76</v>
      </c>
      <c r="E27" s="182">
        <f>F27+G27+H27+I27</f>
        <v>14913.2</v>
      </c>
      <c r="F27" s="152">
        <v>2609.23</v>
      </c>
      <c r="G27" s="152">
        <v>4248.18</v>
      </c>
      <c r="H27" s="152">
        <v>3884.84</v>
      </c>
      <c r="I27" s="152">
        <v>4170.95</v>
      </c>
    </row>
    <row r="28" spans="1:9" ht="21" customHeight="1">
      <c r="A28" s="19" t="s">
        <v>81</v>
      </c>
      <c r="B28" s="17">
        <v>2122</v>
      </c>
      <c r="C28" s="152">
        <v>43.17</v>
      </c>
      <c r="D28" s="150">
        <v>48</v>
      </c>
      <c r="E28" s="182">
        <f>F28+G28+H28+I28</f>
        <v>48</v>
      </c>
      <c r="F28" s="151">
        <v>12</v>
      </c>
      <c r="G28" s="151">
        <v>12</v>
      </c>
      <c r="H28" s="151">
        <v>12</v>
      </c>
      <c r="I28" s="151">
        <v>12</v>
      </c>
    </row>
    <row r="29" spans="1:9" ht="18.75" customHeight="1">
      <c r="A29" s="19" t="s">
        <v>82</v>
      </c>
      <c r="B29" s="17">
        <v>2123</v>
      </c>
      <c r="C29" s="150">
        <v>208.5</v>
      </c>
      <c r="D29" s="150"/>
      <c r="E29" s="152"/>
      <c r="F29" s="113"/>
      <c r="G29" s="113"/>
      <c r="H29" s="113"/>
      <c r="I29" s="113"/>
    </row>
    <row r="30" spans="1:9" ht="30" customHeight="1">
      <c r="A30" s="19" t="s">
        <v>79</v>
      </c>
      <c r="B30" s="17">
        <v>2124</v>
      </c>
      <c r="C30" s="178"/>
      <c r="D30" s="150"/>
      <c r="E30" s="178"/>
      <c r="F30" s="9"/>
      <c r="G30" s="9"/>
      <c r="H30" s="9"/>
      <c r="I30" s="9"/>
    </row>
    <row r="31" spans="1:9" ht="15">
      <c r="A31" s="19"/>
      <c r="B31" s="78"/>
      <c r="C31" s="183"/>
      <c r="D31" s="183"/>
      <c r="E31" s="183"/>
      <c r="F31" s="78"/>
      <c r="G31" s="78"/>
      <c r="H31" s="78"/>
      <c r="I31" s="78"/>
    </row>
    <row r="32" spans="1:9" ht="63.75" customHeight="1">
      <c r="A32" s="18" t="s">
        <v>83</v>
      </c>
      <c r="B32" s="22">
        <v>2130</v>
      </c>
      <c r="C32" s="181">
        <f>C34+C35</f>
        <v>11680.08</v>
      </c>
      <c r="D32" s="181">
        <f>D34+D36</f>
        <v>15171.74</v>
      </c>
      <c r="E32" s="181">
        <f>E34+E36+E35</f>
        <v>19341.72</v>
      </c>
      <c r="F32" s="181">
        <f>F34+F36+F35</f>
        <v>3373.7400000000002</v>
      </c>
      <c r="G32" s="181">
        <f>G34+G36+G35</f>
        <v>5509.68</v>
      </c>
      <c r="H32" s="181">
        <f>H34+H36+H35</f>
        <v>5039.87</v>
      </c>
      <c r="I32" s="181">
        <f>I34+I36+I35</f>
        <v>5418.429999999999</v>
      </c>
    </row>
    <row r="33" spans="1:9" ht="22.5" customHeight="1">
      <c r="A33" s="19" t="s">
        <v>84</v>
      </c>
      <c r="B33" s="17">
        <v>2131</v>
      </c>
      <c r="C33" s="178"/>
      <c r="D33" s="184"/>
      <c r="E33" s="150"/>
      <c r="F33" s="81"/>
      <c r="G33" s="81"/>
      <c r="H33" s="81"/>
      <c r="I33" s="81"/>
    </row>
    <row r="34" spans="1:9" ht="61.5" customHeight="1">
      <c r="A34" s="19" t="s">
        <v>85</v>
      </c>
      <c r="B34" s="17">
        <v>2132</v>
      </c>
      <c r="C34" s="150">
        <v>10913.8</v>
      </c>
      <c r="D34" s="150">
        <v>15171.74</v>
      </c>
      <c r="E34" s="181">
        <f>F34+G34+H34+I34</f>
        <v>18098.95</v>
      </c>
      <c r="F34" s="150">
        <v>3156.3</v>
      </c>
      <c r="G34" s="150">
        <v>5155.66</v>
      </c>
      <c r="H34" s="150">
        <v>4716.13</v>
      </c>
      <c r="I34" s="150">
        <v>5070.86</v>
      </c>
    </row>
    <row r="35" spans="1:9" ht="45.75" customHeight="1">
      <c r="A35" s="19" t="s">
        <v>304</v>
      </c>
      <c r="B35" s="17">
        <v>2133</v>
      </c>
      <c r="C35" s="150">
        <v>766.28</v>
      </c>
      <c r="D35" s="150">
        <v>1037.31</v>
      </c>
      <c r="E35" s="181">
        <f>F35+G35+H35+I35</f>
        <v>1242.77</v>
      </c>
      <c r="F35" s="150">
        <v>217.44</v>
      </c>
      <c r="G35" s="150">
        <v>354.02</v>
      </c>
      <c r="H35" s="150">
        <v>323.74</v>
      </c>
      <c r="I35" s="150">
        <v>347.57</v>
      </c>
    </row>
    <row r="36" spans="1:9" ht="9.75" customHeight="1">
      <c r="A36" s="19"/>
      <c r="B36" s="17"/>
      <c r="C36" s="150"/>
      <c r="D36" s="150"/>
      <c r="E36" s="150"/>
      <c r="F36" s="150"/>
      <c r="G36" s="150"/>
      <c r="H36" s="150"/>
      <c r="I36" s="150"/>
    </row>
    <row r="37" spans="1:9" ht="32.25" customHeight="1">
      <c r="A37" s="19" t="s">
        <v>277</v>
      </c>
      <c r="B37" s="17">
        <v>2134</v>
      </c>
      <c r="C37" s="150"/>
      <c r="D37" s="150"/>
      <c r="E37" s="178"/>
      <c r="F37" s="85"/>
      <c r="G37" s="85"/>
      <c r="H37" s="85"/>
      <c r="I37" s="85"/>
    </row>
    <row r="38" spans="1:9" ht="46.5" customHeight="1">
      <c r="A38" s="18" t="s">
        <v>87</v>
      </c>
      <c r="B38" s="22">
        <v>2140</v>
      </c>
      <c r="C38" s="185"/>
      <c r="D38" s="179"/>
      <c r="E38" s="179"/>
      <c r="F38" s="115"/>
      <c r="G38" s="21"/>
      <c r="H38" s="21"/>
      <c r="I38" s="21"/>
    </row>
    <row r="39" spans="1:9" ht="96.75" customHeight="1">
      <c r="A39" s="19" t="s">
        <v>88</v>
      </c>
      <c r="B39" s="17">
        <v>2141</v>
      </c>
      <c r="C39" s="178"/>
      <c r="D39" s="150"/>
      <c r="E39" s="178"/>
      <c r="F39" s="9"/>
      <c r="G39" s="9"/>
      <c r="H39" s="9"/>
      <c r="I39" s="9"/>
    </row>
    <row r="40" spans="1:9" ht="36.75" customHeight="1">
      <c r="A40" s="19" t="s">
        <v>89</v>
      </c>
      <c r="B40" s="17">
        <v>2142</v>
      </c>
      <c r="C40" s="178"/>
      <c r="D40" s="150"/>
      <c r="E40" s="178"/>
      <c r="F40" s="9"/>
      <c r="G40" s="9"/>
      <c r="H40" s="9"/>
      <c r="I40" s="9"/>
    </row>
    <row r="41" spans="1:9" ht="15">
      <c r="A41" s="23"/>
      <c r="B41" s="14"/>
      <c r="C41" s="24"/>
      <c r="D41" s="25"/>
      <c r="E41" s="24"/>
      <c r="F41" s="25"/>
      <c r="G41" s="25"/>
      <c r="H41" s="25"/>
      <c r="I41" s="25"/>
    </row>
    <row r="42" spans="1:9" ht="30">
      <c r="A42" s="114" t="s">
        <v>257</v>
      </c>
      <c r="B42" s="27"/>
      <c r="C42" s="231" t="s">
        <v>90</v>
      </c>
      <c r="D42" s="232"/>
      <c r="E42" s="232"/>
      <c r="F42" s="28"/>
      <c r="G42" s="233" t="s">
        <v>265</v>
      </c>
      <c r="H42" s="233"/>
      <c r="I42" s="233"/>
    </row>
    <row r="43" spans="1:9" ht="15">
      <c r="A43" s="30" t="s">
        <v>93</v>
      </c>
      <c r="B43" s="29"/>
      <c r="C43" s="230" t="s">
        <v>92</v>
      </c>
      <c r="D43" s="230"/>
      <c r="E43" s="230"/>
      <c r="F43" s="31"/>
      <c r="G43" s="31" t="s">
        <v>91</v>
      </c>
      <c r="I43" s="32"/>
    </row>
    <row r="45" spans="1:9" ht="33" customHeight="1">
      <c r="A45" s="114" t="s">
        <v>248</v>
      </c>
      <c r="C45" s="231" t="s">
        <v>90</v>
      </c>
      <c r="D45" s="232"/>
      <c r="E45" s="232"/>
      <c r="G45" s="233" t="s">
        <v>297</v>
      </c>
      <c r="H45" s="233"/>
      <c r="I45" s="233"/>
    </row>
    <row r="46" spans="1:7" ht="19.5" customHeight="1">
      <c r="A46" s="114"/>
      <c r="C46" s="230" t="s">
        <v>92</v>
      </c>
      <c r="D46" s="230"/>
      <c r="E46" s="230"/>
      <c r="G46" s="31" t="s">
        <v>91</v>
      </c>
    </row>
    <row r="47" spans="1:9" ht="15">
      <c r="A47" s="114" t="s">
        <v>255</v>
      </c>
      <c r="B47" s="27"/>
      <c r="C47" s="231" t="s">
        <v>90</v>
      </c>
      <c r="D47" s="232"/>
      <c r="E47" s="232"/>
      <c r="F47" s="28"/>
      <c r="G47" s="233" t="s">
        <v>298</v>
      </c>
      <c r="H47" s="233"/>
      <c r="I47" s="233"/>
    </row>
    <row r="48" spans="1:9" ht="15">
      <c r="A48" s="124" t="s">
        <v>93</v>
      </c>
      <c r="B48" s="29"/>
      <c r="C48" s="230" t="s">
        <v>92</v>
      </c>
      <c r="D48" s="230"/>
      <c r="E48" s="230"/>
      <c r="F48" s="31"/>
      <c r="G48" s="31" t="s">
        <v>91</v>
      </c>
      <c r="I48" s="32"/>
    </row>
  </sheetData>
  <sheetProtection/>
  <mergeCells count="19">
    <mergeCell ref="C46:E46"/>
    <mergeCell ref="C47:E47"/>
    <mergeCell ref="G47:I47"/>
    <mergeCell ref="C48:E48"/>
    <mergeCell ref="G1:I1"/>
    <mergeCell ref="A2:I2"/>
    <mergeCell ref="A4:A5"/>
    <mergeCell ref="B4:B5"/>
    <mergeCell ref="C4:C5"/>
    <mergeCell ref="D4:D5"/>
    <mergeCell ref="E4:E5"/>
    <mergeCell ref="F4:I4"/>
    <mergeCell ref="C43:E43"/>
    <mergeCell ref="C45:E45"/>
    <mergeCell ref="G45:I45"/>
    <mergeCell ref="A7:I7"/>
    <mergeCell ref="A18:I18"/>
    <mergeCell ref="C42:E42"/>
    <mergeCell ref="G42:I4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86"/>
  <sheetViews>
    <sheetView zoomScaleSheetLayoutView="100" workbookViewId="0" topLeftCell="A1">
      <selection activeCell="D9" sqref="D9"/>
    </sheetView>
  </sheetViews>
  <sheetFormatPr defaultColWidth="9.140625" defaultRowHeight="12.75"/>
  <cols>
    <col min="1" max="1" width="27.57421875" style="96" customWidth="1"/>
    <col min="2" max="2" width="6.421875" style="96" customWidth="1"/>
    <col min="3" max="3" width="10.140625" style="96" customWidth="1"/>
    <col min="4" max="4" width="11.28125" style="96" customWidth="1"/>
    <col min="5" max="5" width="10.57421875" style="96" customWidth="1"/>
    <col min="6" max="6" width="8.8515625" style="96" customWidth="1"/>
    <col min="7" max="7" width="9.00390625" style="96" customWidth="1"/>
    <col min="8" max="8" width="9.8515625" style="96" customWidth="1"/>
    <col min="9" max="9" width="8.57421875" style="96" customWidth="1"/>
    <col min="10" max="16384" width="9.140625" style="96" customWidth="1"/>
  </cols>
  <sheetData>
    <row r="1" spans="7:9" ht="15.75">
      <c r="G1" s="226" t="s">
        <v>163</v>
      </c>
      <c r="H1" s="226"/>
      <c r="I1" s="226"/>
    </row>
    <row r="2" spans="1:9" ht="15.75">
      <c r="A2" s="240" t="s">
        <v>164</v>
      </c>
      <c r="B2" s="240"/>
      <c r="C2" s="240"/>
      <c r="D2" s="240"/>
      <c r="E2" s="240"/>
      <c r="F2" s="240"/>
      <c r="G2" s="240"/>
      <c r="H2" s="240"/>
      <c r="I2" s="240"/>
    </row>
    <row r="3" spans="1:9" ht="6" customHeight="1">
      <c r="A3" s="97"/>
      <c r="B3" s="97"/>
      <c r="C3" s="97"/>
      <c r="D3" s="97"/>
      <c r="E3" s="97"/>
      <c r="F3" s="97"/>
      <c r="G3" s="97"/>
      <c r="H3" s="97"/>
      <c r="I3" s="97"/>
    </row>
    <row r="4" spans="1:9" ht="18.75" customHeight="1">
      <c r="A4" s="241" t="s">
        <v>1</v>
      </c>
      <c r="B4" s="242" t="s">
        <v>94</v>
      </c>
      <c r="C4" s="237" t="s">
        <v>350</v>
      </c>
      <c r="D4" s="237" t="s">
        <v>351</v>
      </c>
      <c r="E4" s="238" t="s">
        <v>349</v>
      </c>
      <c r="F4" s="243" t="s">
        <v>6</v>
      </c>
      <c r="G4" s="243"/>
      <c r="H4" s="243"/>
      <c r="I4" s="243"/>
    </row>
    <row r="5" spans="1:9" ht="42" customHeight="1">
      <c r="A5" s="241"/>
      <c r="B5" s="242"/>
      <c r="C5" s="237"/>
      <c r="D5" s="237"/>
      <c r="E5" s="238"/>
      <c r="F5" s="90" t="s">
        <v>7</v>
      </c>
      <c r="G5" s="90" t="s">
        <v>8</v>
      </c>
      <c r="H5" s="90" t="s">
        <v>9</v>
      </c>
      <c r="I5" s="90" t="s">
        <v>10</v>
      </c>
    </row>
    <row r="6" spans="1:9" ht="12.75">
      <c r="A6" s="39">
        <v>1</v>
      </c>
      <c r="B6" s="90">
        <v>2</v>
      </c>
      <c r="C6" s="90">
        <v>3</v>
      </c>
      <c r="D6" s="90">
        <v>4</v>
      </c>
      <c r="E6" s="90">
        <v>6</v>
      </c>
      <c r="F6" s="90">
        <v>7</v>
      </c>
      <c r="G6" s="90">
        <v>8</v>
      </c>
      <c r="H6" s="90">
        <v>9</v>
      </c>
      <c r="I6" s="90">
        <v>10</v>
      </c>
    </row>
    <row r="7" spans="1:9" ht="19.5" customHeight="1">
      <c r="A7" s="239" t="s">
        <v>95</v>
      </c>
      <c r="B7" s="239"/>
      <c r="C7" s="239"/>
      <c r="D7" s="239"/>
      <c r="E7" s="239"/>
      <c r="F7" s="239"/>
      <c r="G7" s="239"/>
      <c r="H7" s="239"/>
      <c r="I7" s="239"/>
    </row>
    <row r="8" spans="1:9" ht="42.75" customHeight="1">
      <c r="A8" s="8" t="s">
        <v>96</v>
      </c>
      <c r="B8" s="94">
        <v>3000</v>
      </c>
      <c r="C8" s="186"/>
      <c r="D8" s="187"/>
      <c r="E8" s="95"/>
      <c r="F8" s="95"/>
      <c r="G8" s="95"/>
      <c r="H8" s="95"/>
      <c r="I8" s="95"/>
    </row>
    <row r="9" spans="1:9" ht="45">
      <c r="A9" s="4" t="s">
        <v>97</v>
      </c>
      <c r="B9" s="91">
        <v>3010</v>
      </c>
      <c r="C9" s="188"/>
      <c r="D9" s="154"/>
      <c r="E9" s="93"/>
      <c r="F9" s="93"/>
      <c r="G9" s="93"/>
      <c r="H9" s="93"/>
      <c r="I9" s="93"/>
    </row>
    <row r="10" spans="1:9" ht="39.75" customHeight="1">
      <c r="A10" s="4" t="s">
        <v>98</v>
      </c>
      <c r="B10" s="91">
        <v>3020</v>
      </c>
      <c r="C10" s="188"/>
      <c r="D10" s="154"/>
      <c r="E10" s="93"/>
      <c r="F10" s="93"/>
      <c r="G10" s="93"/>
      <c r="H10" s="93"/>
      <c r="I10" s="93"/>
    </row>
    <row r="11" spans="1:9" ht="23.25" customHeight="1">
      <c r="A11" s="4" t="s">
        <v>99</v>
      </c>
      <c r="B11" s="91">
        <v>3021</v>
      </c>
      <c r="C11" s="188"/>
      <c r="D11" s="154"/>
      <c r="E11" s="93"/>
      <c r="F11" s="93"/>
      <c r="G11" s="93"/>
      <c r="H11" s="93"/>
      <c r="I11" s="93"/>
    </row>
    <row r="12" spans="1:9" ht="30">
      <c r="A12" s="4" t="s">
        <v>100</v>
      </c>
      <c r="B12" s="91">
        <v>3030</v>
      </c>
      <c r="C12" s="188"/>
      <c r="D12" s="154"/>
      <c r="E12" s="125"/>
      <c r="F12" s="125"/>
      <c r="G12" s="125"/>
      <c r="H12" s="125"/>
      <c r="I12" s="125"/>
    </row>
    <row r="13" spans="1:9" ht="30">
      <c r="A13" s="4" t="s">
        <v>101</v>
      </c>
      <c r="B13" s="91">
        <v>3040</v>
      </c>
      <c r="C13" s="188"/>
      <c r="D13" s="154"/>
      <c r="E13" s="93"/>
      <c r="F13" s="93"/>
      <c r="G13" s="93"/>
      <c r="H13" s="93"/>
      <c r="I13" s="93"/>
    </row>
    <row r="14" spans="1:9" ht="48" customHeight="1">
      <c r="A14" s="4" t="s">
        <v>165</v>
      </c>
      <c r="B14" s="91">
        <v>3050</v>
      </c>
      <c r="C14" s="188"/>
      <c r="D14" s="154"/>
      <c r="E14" s="93"/>
      <c r="F14" s="93"/>
      <c r="G14" s="93"/>
      <c r="H14" s="93"/>
      <c r="I14" s="93"/>
    </row>
    <row r="15" spans="1:9" ht="28.5">
      <c r="A15" s="8" t="s">
        <v>336</v>
      </c>
      <c r="B15" s="94">
        <v>3060</v>
      </c>
      <c r="C15" s="189">
        <f>C16+C17+C18+C26+C23+C19+C20+C21</f>
        <v>102395.02</v>
      </c>
      <c r="D15" s="190">
        <f aca="true" t="shared" si="0" ref="D15:I15">D16+D17+D18+D26+D23+D22+D24+D25</f>
        <v>117106.54</v>
      </c>
      <c r="E15" s="129">
        <f t="shared" si="0"/>
        <v>143581.19999999998</v>
      </c>
      <c r="F15" s="129">
        <f t="shared" si="0"/>
        <v>25812.539999999997</v>
      </c>
      <c r="G15" s="189">
        <f t="shared" si="0"/>
        <v>39323.969999999994</v>
      </c>
      <c r="H15" s="189">
        <f t="shared" si="0"/>
        <v>39907.49</v>
      </c>
      <c r="I15" s="189">
        <f t="shared" si="0"/>
        <v>38537.2</v>
      </c>
    </row>
    <row r="16" spans="1:9" ht="29.25" customHeight="1">
      <c r="A16" s="196" t="s">
        <v>198</v>
      </c>
      <c r="B16" s="91" t="s">
        <v>191</v>
      </c>
      <c r="C16" s="191">
        <v>5091.97</v>
      </c>
      <c r="D16" s="154">
        <v>5426.22</v>
      </c>
      <c r="E16" s="128">
        <f>F16+G16+H16+I16</f>
        <v>8010</v>
      </c>
      <c r="F16" s="131">
        <v>2002.5</v>
      </c>
      <c r="G16" s="131">
        <v>2002.5</v>
      </c>
      <c r="H16" s="131">
        <v>2002.5</v>
      </c>
      <c r="I16" s="131">
        <v>2002.5</v>
      </c>
    </row>
    <row r="17" spans="1:9" ht="36.75" customHeight="1">
      <c r="A17" s="196" t="s">
        <v>199</v>
      </c>
      <c r="B17" s="91" t="s">
        <v>192</v>
      </c>
      <c r="C17" s="191">
        <v>442.02</v>
      </c>
      <c r="D17" s="154">
        <v>353</v>
      </c>
      <c r="E17" s="128">
        <f>F17+G17+H17+I17</f>
        <v>350</v>
      </c>
      <c r="F17" s="130">
        <v>81</v>
      </c>
      <c r="G17" s="191">
        <v>87.5</v>
      </c>
      <c r="H17" s="191">
        <v>89.8</v>
      </c>
      <c r="I17" s="191">
        <v>91.7</v>
      </c>
    </row>
    <row r="18" spans="1:9" ht="30">
      <c r="A18" s="196" t="s">
        <v>200</v>
      </c>
      <c r="B18" s="91" t="s">
        <v>193</v>
      </c>
      <c r="C18" s="191">
        <v>0.88</v>
      </c>
      <c r="D18" s="154">
        <v>3.6</v>
      </c>
      <c r="E18" s="128">
        <f>F18+G18+H18+I18</f>
        <v>4.34</v>
      </c>
      <c r="F18" s="130"/>
      <c r="G18" s="130">
        <v>2.17</v>
      </c>
      <c r="H18" s="130"/>
      <c r="I18" s="130">
        <v>2.17</v>
      </c>
    </row>
    <row r="19" spans="1:9" ht="45">
      <c r="A19" s="196" t="s">
        <v>278</v>
      </c>
      <c r="B19" s="91" t="s">
        <v>279</v>
      </c>
      <c r="C19" s="191">
        <v>45.92</v>
      </c>
      <c r="D19" s="154"/>
      <c r="E19" s="129"/>
      <c r="F19" s="130"/>
      <c r="G19" s="130"/>
      <c r="H19" s="130"/>
      <c r="I19" s="130"/>
    </row>
    <row r="20" spans="1:9" ht="45.75" customHeight="1">
      <c r="A20" s="196" t="s">
        <v>269</v>
      </c>
      <c r="B20" s="91" t="s">
        <v>280</v>
      </c>
      <c r="C20" s="191">
        <v>72.14</v>
      </c>
      <c r="D20" s="154"/>
      <c r="E20" s="129"/>
      <c r="F20" s="130"/>
      <c r="G20" s="130"/>
      <c r="H20" s="130"/>
      <c r="I20" s="130"/>
    </row>
    <row r="21" spans="1:9" ht="114.75" customHeight="1">
      <c r="A21" s="175" t="s">
        <v>331</v>
      </c>
      <c r="B21" s="91" t="s">
        <v>281</v>
      </c>
      <c r="C21" s="191">
        <v>1817.09</v>
      </c>
      <c r="D21" s="154"/>
      <c r="E21" s="129"/>
      <c r="F21" s="130"/>
      <c r="G21" s="130"/>
      <c r="H21" s="130"/>
      <c r="I21" s="130"/>
    </row>
    <row r="22" spans="1:9" ht="112.5" customHeight="1">
      <c r="A22" s="196" t="s">
        <v>266</v>
      </c>
      <c r="B22" s="91" t="s">
        <v>292</v>
      </c>
      <c r="C22" s="191"/>
      <c r="D22" s="154">
        <v>3164</v>
      </c>
      <c r="E22" s="128">
        <f>F22+G22+H22+I22</f>
        <v>3778.47</v>
      </c>
      <c r="F22" s="130">
        <v>735.42</v>
      </c>
      <c r="G22" s="191">
        <v>1153.81</v>
      </c>
      <c r="H22" s="191">
        <v>1153.81</v>
      </c>
      <c r="I22" s="130">
        <v>735.43</v>
      </c>
    </row>
    <row r="23" spans="1:9" ht="30">
      <c r="A23" s="196" t="s">
        <v>262</v>
      </c>
      <c r="B23" s="91" t="s">
        <v>333</v>
      </c>
      <c r="C23" s="191">
        <v>48152.96</v>
      </c>
      <c r="D23" s="154">
        <v>62808.1</v>
      </c>
      <c r="E23" s="128">
        <f>F23+G23+H23+I23</f>
        <v>66546.57</v>
      </c>
      <c r="F23" s="130">
        <v>10938.92</v>
      </c>
      <c r="G23" s="191">
        <v>18535.88</v>
      </c>
      <c r="H23" s="191">
        <v>18535.88</v>
      </c>
      <c r="I23" s="191">
        <v>18535.89</v>
      </c>
    </row>
    <row r="24" spans="1:9" ht="30">
      <c r="A24" s="4" t="s">
        <v>294</v>
      </c>
      <c r="B24" s="91" t="s">
        <v>334</v>
      </c>
      <c r="C24" s="191"/>
      <c r="D24" s="154">
        <v>642.3</v>
      </c>
      <c r="E24" s="128">
        <f>F24+G24+H24+I24</f>
        <v>1672.8700000000001</v>
      </c>
      <c r="F24" s="152">
        <v>416.7</v>
      </c>
      <c r="G24" s="152">
        <f>417.33+1.1</f>
        <v>418.43</v>
      </c>
      <c r="H24" s="152">
        <f>417.3+1.16</f>
        <v>418.46000000000004</v>
      </c>
      <c r="I24" s="152">
        <f>417.99+1.29</f>
        <v>419.28000000000003</v>
      </c>
    </row>
    <row r="25" spans="1:9" ht="30">
      <c r="A25" s="4" t="s">
        <v>295</v>
      </c>
      <c r="B25" s="91" t="s">
        <v>335</v>
      </c>
      <c r="C25" s="191"/>
      <c r="D25" s="154">
        <v>48</v>
      </c>
      <c r="E25" s="128">
        <f>F25+G25+H25+I25</f>
        <v>48</v>
      </c>
      <c r="F25" s="87">
        <v>12</v>
      </c>
      <c r="G25" s="87">
        <v>12</v>
      </c>
      <c r="H25" s="87">
        <v>12</v>
      </c>
      <c r="I25" s="87">
        <v>12</v>
      </c>
    </row>
    <row r="26" spans="1:9" ht="28.5">
      <c r="A26" s="197" t="s">
        <v>196</v>
      </c>
      <c r="B26" s="94">
        <v>3070</v>
      </c>
      <c r="C26" s="187">
        <f>C31+C28+C29+C30+C35+C27+C33+C34+C36</f>
        <v>46772.04000000001</v>
      </c>
      <c r="D26" s="187">
        <f>D31+D28+D29+D30+D35+D27+D36</f>
        <v>44661.32</v>
      </c>
      <c r="E26" s="86">
        <f>F26+G26+H26+I26</f>
        <v>63170.95</v>
      </c>
      <c r="F26" s="86">
        <f>F31+F28+F29+F30+F35+F27+F32+F36</f>
        <v>11626</v>
      </c>
      <c r="G26" s="86">
        <f>G31+G28+G29+G30+G35+G27+G32+G36</f>
        <v>17111.68</v>
      </c>
      <c r="H26" s="86">
        <f>H31+H28+H29+H30+H35+H27+H32+H36</f>
        <v>17695.04</v>
      </c>
      <c r="I26" s="86">
        <f>I31+I28+I29+I30+I35+I27+I32+I36</f>
        <v>16738.23</v>
      </c>
    </row>
    <row r="27" spans="1:9" ht="30">
      <c r="A27" s="196" t="s">
        <v>263</v>
      </c>
      <c r="B27" s="91" t="s">
        <v>337</v>
      </c>
      <c r="C27" s="191">
        <v>7294.1</v>
      </c>
      <c r="D27" s="154"/>
      <c r="E27" s="86"/>
      <c r="F27" s="87"/>
      <c r="G27" s="86"/>
      <c r="H27" s="86"/>
      <c r="I27" s="86"/>
    </row>
    <row r="28" spans="1:9" ht="141.75" customHeight="1">
      <c r="A28" s="156" t="s">
        <v>332</v>
      </c>
      <c r="B28" s="91" t="s">
        <v>338</v>
      </c>
      <c r="C28" s="154">
        <v>26145</v>
      </c>
      <c r="D28" s="154">
        <v>34938.32</v>
      </c>
      <c r="E28" s="128">
        <f>F28+G28+H28+I28</f>
        <v>49894.95</v>
      </c>
      <c r="F28" s="87">
        <v>10036</v>
      </c>
      <c r="G28" s="87">
        <v>14275.68</v>
      </c>
      <c r="H28" s="87">
        <v>11105.04</v>
      </c>
      <c r="I28" s="87">
        <v>14478.23</v>
      </c>
    </row>
    <row r="29" spans="1:9" ht="55.5" customHeight="1">
      <c r="A29" s="4" t="s">
        <v>259</v>
      </c>
      <c r="B29" s="91" t="s">
        <v>339</v>
      </c>
      <c r="C29" s="154">
        <v>1278.37</v>
      </c>
      <c r="D29" s="154">
        <v>1400</v>
      </c>
      <c r="E29" s="128">
        <f>F29+G29+H29+I29</f>
        <v>0</v>
      </c>
      <c r="F29" s="87"/>
      <c r="G29" s="87"/>
      <c r="H29" s="87"/>
      <c r="I29" s="87"/>
    </row>
    <row r="30" spans="1:9" ht="41.25" customHeight="1">
      <c r="A30" s="196" t="s">
        <v>202</v>
      </c>
      <c r="B30" s="91" t="s">
        <v>340</v>
      </c>
      <c r="C30" s="154">
        <v>0</v>
      </c>
      <c r="D30" s="154">
        <v>48</v>
      </c>
      <c r="E30" s="128">
        <f>F30+G30+H30+I30</f>
        <v>96</v>
      </c>
      <c r="F30" s="87"/>
      <c r="G30" s="87">
        <v>96</v>
      </c>
      <c r="H30" s="87"/>
      <c r="I30" s="87"/>
    </row>
    <row r="31" spans="1:9" ht="60">
      <c r="A31" s="196" t="s">
        <v>208</v>
      </c>
      <c r="B31" s="91" t="s">
        <v>341</v>
      </c>
      <c r="C31" s="154">
        <v>6836.16</v>
      </c>
      <c r="D31" s="154">
        <v>8200</v>
      </c>
      <c r="E31" s="128">
        <f>F31+G31+H31+I31</f>
        <v>10050</v>
      </c>
      <c r="F31" s="127">
        <v>800</v>
      </c>
      <c r="G31" s="127">
        <v>1950</v>
      </c>
      <c r="H31" s="127">
        <v>5800</v>
      </c>
      <c r="I31" s="127">
        <v>1500</v>
      </c>
    </row>
    <row r="32" spans="1:9" ht="45">
      <c r="A32" s="175" t="s">
        <v>268</v>
      </c>
      <c r="B32" s="91" t="s">
        <v>342</v>
      </c>
      <c r="C32" s="154"/>
      <c r="D32" s="154"/>
      <c r="E32" s="128">
        <f>F32+G32+H32+I32</f>
        <v>3000</v>
      </c>
      <c r="F32" s="127">
        <v>750</v>
      </c>
      <c r="G32" s="127">
        <v>750</v>
      </c>
      <c r="H32" s="127">
        <v>750</v>
      </c>
      <c r="I32" s="127">
        <v>750</v>
      </c>
    </row>
    <row r="33" spans="1:9" ht="60">
      <c r="A33" s="196" t="s">
        <v>282</v>
      </c>
      <c r="B33" s="91" t="s">
        <v>343</v>
      </c>
      <c r="C33" s="154">
        <v>1143.97</v>
      </c>
      <c r="D33" s="154"/>
      <c r="E33" s="86"/>
      <c r="F33" s="87"/>
      <c r="G33" s="87"/>
      <c r="H33" s="87"/>
      <c r="I33" s="87"/>
    </row>
    <row r="34" spans="1:9" ht="144.75" customHeight="1">
      <c r="A34" s="196" t="s">
        <v>283</v>
      </c>
      <c r="B34" s="91" t="s">
        <v>344</v>
      </c>
      <c r="C34" s="154">
        <v>19.53</v>
      </c>
      <c r="D34" s="154"/>
      <c r="E34" s="86"/>
      <c r="F34" s="87"/>
      <c r="G34" s="87"/>
      <c r="H34" s="87"/>
      <c r="I34" s="87"/>
    </row>
    <row r="35" spans="1:9" ht="150" customHeight="1">
      <c r="A35" s="196" t="s">
        <v>305</v>
      </c>
      <c r="B35" s="91" t="s">
        <v>345</v>
      </c>
      <c r="C35" s="154">
        <v>3973.19</v>
      </c>
      <c r="D35" s="154"/>
      <c r="E35" s="128"/>
      <c r="F35" s="87"/>
      <c r="G35" s="87"/>
      <c r="H35" s="87"/>
      <c r="I35" s="87"/>
    </row>
    <row r="36" spans="1:9" ht="30">
      <c r="A36" s="196" t="s">
        <v>245</v>
      </c>
      <c r="B36" s="91" t="s">
        <v>346</v>
      </c>
      <c r="C36" s="154">
        <v>81.72</v>
      </c>
      <c r="D36" s="154">
        <v>75</v>
      </c>
      <c r="E36" s="128">
        <f>F36+G36+H36+I36</f>
        <v>130</v>
      </c>
      <c r="F36" s="87">
        <v>40</v>
      </c>
      <c r="G36" s="87">
        <v>40</v>
      </c>
      <c r="H36" s="87">
        <v>40</v>
      </c>
      <c r="I36" s="87">
        <v>10</v>
      </c>
    </row>
    <row r="37" spans="1:9" ht="42.75">
      <c r="A37" s="8" t="s">
        <v>102</v>
      </c>
      <c r="B37" s="94">
        <v>3100</v>
      </c>
      <c r="C37" s="187">
        <f>C38+C39+C51+C43+C44+C46+C47+C48+C50-C47-C48</f>
        <v>78820.12000000001</v>
      </c>
      <c r="D37" s="187">
        <f>D38+D39+D51+D43+D44+D46+D47+D48</f>
        <v>108626.54</v>
      </c>
      <c r="E37" s="86">
        <f>F37+G37+H37+I37</f>
        <v>132067.88</v>
      </c>
      <c r="F37" s="86">
        <f>F38+F39+F51+F43+F44+F46+F47+F48</f>
        <v>24520.969999999998</v>
      </c>
      <c r="G37" s="202">
        <f>G38+G39+G51+G43+G44+G46+G47+G48</f>
        <v>37006.62</v>
      </c>
      <c r="H37" s="202">
        <f>H38+H39+H51+H43+H44+H46+H47+H48</f>
        <v>33783.53</v>
      </c>
      <c r="I37" s="202">
        <f>I38+I39+I51+I43+I44+I46+I47+I48</f>
        <v>36756.759999999995</v>
      </c>
    </row>
    <row r="38" spans="1:9" ht="30">
      <c r="A38" s="4" t="s">
        <v>103</v>
      </c>
      <c r="B38" s="91">
        <v>3110</v>
      </c>
      <c r="C38" s="154">
        <v>15345.61</v>
      </c>
      <c r="D38" s="154">
        <v>22162.3</v>
      </c>
      <c r="E38" s="86">
        <f>F38+G38+H38+I38</f>
        <v>29300.969999999998</v>
      </c>
      <c r="F38" s="87">
        <v>6440.24</v>
      </c>
      <c r="G38" s="203">
        <f>1348.96+394.5+212.75+9+24+32+2+68+750+1600+550+1909.3+163+350+420+40-150</f>
        <v>7723.51</v>
      </c>
      <c r="H38" s="203">
        <f>1343.4+492.8+211.75+9+25+32+2+70+750+1600+550+1145.54+163+350+420+40-150</f>
        <v>7054.49</v>
      </c>
      <c r="I38" s="203">
        <f>1349.8+520.03+211.75+9+25+34+1+66+750+1350+700+2222.65+163.5+400+420+10-150</f>
        <v>8082.73</v>
      </c>
    </row>
    <row r="39" spans="1:9" ht="15">
      <c r="A39" s="4" t="s">
        <v>104</v>
      </c>
      <c r="B39" s="91">
        <v>3120</v>
      </c>
      <c r="C39" s="154">
        <v>50274.74</v>
      </c>
      <c r="D39" s="154">
        <v>55669.13</v>
      </c>
      <c r="E39" s="128">
        <f>F39+G39+H39+I39</f>
        <v>66695.12</v>
      </c>
      <c r="F39" s="132">
        <f>14495.73-217.44-2609.23</f>
        <v>11669.06</v>
      </c>
      <c r="G39" s="204">
        <f>23601.02-354.02-4248.18</f>
        <v>18998.82</v>
      </c>
      <c r="H39" s="204">
        <f>21582.45-323.74-3884.84</f>
        <v>17373.87</v>
      </c>
      <c r="I39" s="204">
        <f>23171.89-347.57-4170.95</f>
        <v>18653.37</v>
      </c>
    </row>
    <row r="40" spans="1:9" ht="53.25" customHeight="1">
      <c r="A40" s="4" t="s">
        <v>166</v>
      </c>
      <c r="B40" s="91">
        <v>3130</v>
      </c>
      <c r="C40" s="154"/>
      <c r="D40" s="154"/>
      <c r="E40" s="86"/>
      <c r="F40" s="87"/>
      <c r="G40" s="87"/>
      <c r="H40" s="87"/>
      <c r="I40" s="87"/>
    </row>
    <row r="41" spans="1:9" ht="45">
      <c r="A41" s="4" t="s">
        <v>105</v>
      </c>
      <c r="B41" s="91">
        <v>3140</v>
      </c>
      <c r="C41" s="154"/>
      <c r="D41" s="154"/>
      <c r="E41" s="86"/>
      <c r="F41" s="87"/>
      <c r="G41" s="87"/>
      <c r="H41" s="87"/>
      <c r="I41" s="87"/>
    </row>
    <row r="42" spans="1:9" ht="15" customHeight="1">
      <c r="A42" s="4" t="s">
        <v>120</v>
      </c>
      <c r="B42" s="89">
        <v>3141</v>
      </c>
      <c r="C42" s="154"/>
      <c r="D42" s="154"/>
      <c r="E42" s="86"/>
      <c r="F42" s="87"/>
      <c r="G42" s="87"/>
      <c r="H42" s="87"/>
      <c r="I42" s="87"/>
    </row>
    <row r="43" spans="1:9" ht="15">
      <c r="A43" s="4" t="s">
        <v>106</v>
      </c>
      <c r="B43" s="89">
        <v>3142</v>
      </c>
      <c r="C43" s="154">
        <v>371.3</v>
      </c>
      <c r="D43" s="154">
        <v>642.3</v>
      </c>
      <c r="E43" s="128">
        <f aca="true" t="shared" si="1" ref="E43:E48">F43+G43+H43+I43</f>
        <v>1672.87</v>
      </c>
      <c r="F43" s="152">
        <v>416.7</v>
      </c>
      <c r="G43" s="152">
        <v>418.43</v>
      </c>
      <c r="H43" s="152">
        <v>418.46</v>
      </c>
      <c r="I43" s="152">
        <v>419.28</v>
      </c>
    </row>
    <row r="44" spans="1:9" ht="40.5" customHeight="1">
      <c r="A44" s="4" t="s">
        <v>78</v>
      </c>
      <c r="B44" s="89">
        <v>3143</v>
      </c>
      <c r="C44" s="154">
        <v>9107.92</v>
      </c>
      <c r="D44" s="154">
        <v>12447.76</v>
      </c>
      <c r="E44" s="128">
        <f t="shared" si="1"/>
        <v>14913.2</v>
      </c>
      <c r="F44" s="152">
        <v>2609.23</v>
      </c>
      <c r="G44" s="152">
        <v>4248.18</v>
      </c>
      <c r="H44" s="152">
        <v>3884.84</v>
      </c>
      <c r="I44" s="152">
        <v>4170.95</v>
      </c>
    </row>
    <row r="45" spans="1:9" ht="40.5" customHeight="1">
      <c r="A45" s="4" t="s">
        <v>197</v>
      </c>
      <c r="B45" s="89">
        <v>3144</v>
      </c>
      <c r="C45" s="154"/>
      <c r="D45" s="154"/>
      <c r="E45" s="86"/>
      <c r="F45" s="87"/>
      <c r="G45" s="87"/>
      <c r="H45" s="87"/>
      <c r="I45" s="87"/>
    </row>
    <row r="46" spans="1:9" ht="15">
      <c r="A46" s="19" t="s">
        <v>81</v>
      </c>
      <c r="B46" s="89" t="s">
        <v>181</v>
      </c>
      <c r="C46" s="154">
        <v>43.17</v>
      </c>
      <c r="D46" s="154">
        <v>48</v>
      </c>
      <c r="E46" s="128">
        <f t="shared" si="1"/>
        <v>48</v>
      </c>
      <c r="F46" s="153">
        <v>12</v>
      </c>
      <c r="G46" s="153">
        <v>12</v>
      </c>
      <c r="H46" s="153">
        <v>12</v>
      </c>
      <c r="I46" s="153">
        <v>12</v>
      </c>
    </row>
    <row r="47" spans="1:9" ht="15">
      <c r="A47" s="19" t="s">
        <v>284</v>
      </c>
      <c r="B47" s="89" t="s">
        <v>285</v>
      </c>
      <c r="C47" s="154">
        <v>766.28</v>
      </c>
      <c r="D47" s="154">
        <v>1037.31</v>
      </c>
      <c r="E47" s="128">
        <f t="shared" si="1"/>
        <v>1242.77</v>
      </c>
      <c r="F47" s="150">
        <v>217.44</v>
      </c>
      <c r="G47" s="150">
        <v>354.02</v>
      </c>
      <c r="H47" s="150">
        <v>323.74</v>
      </c>
      <c r="I47" s="150">
        <v>347.57</v>
      </c>
    </row>
    <row r="48" spans="1:9" ht="60">
      <c r="A48" s="19" t="s">
        <v>293</v>
      </c>
      <c r="B48" s="89" t="s">
        <v>286</v>
      </c>
      <c r="C48" s="154">
        <v>1091.38</v>
      </c>
      <c r="D48" s="154">
        <v>15171.74</v>
      </c>
      <c r="E48" s="128">
        <f t="shared" si="1"/>
        <v>18098.95</v>
      </c>
      <c r="F48" s="150">
        <v>3156.3</v>
      </c>
      <c r="G48" s="150">
        <v>5155.66</v>
      </c>
      <c r="H48" s="150">
        <v>4716.13</v>
      </c>
      <c r="I48" s="150">
        <v>5070.86</v>
      </c>
    </row>
    <row r="49" spans="1:9" ht="16.5" customHeight="1">
      <c r="A49" s="4" t="s">
        <v>107</v>
      </c>
      <c r="B49" s="89">
        <v>3150</v>
      </c>
      <c r="C49" s="154"/>
      <c r="D49" s="154"/>
      <c r="E49" s="86"/>
      <c r="F49" s="87"/>
      <c r="G49" s="87"/>
      <c r="H49" s="87"/>
      <c r="I49" s="87"/>
    </row>
    <row r="50" spans="1:9" ht="30">
      <c r="A50" s="4" t="s">
        <v>108</v>
      </c>
      <c r="B50" s="91">
        <v>3160</v>
      </c>
      <c r="C50" s="154"/>
      <c r="D50" s="154"/>
      <c r="E50" s="86"/>
      <c r="F50" s="87"/>
      <c r="G50" s="87"/>
      <c r="H50" s="87"/>
      <c r="I50" s="87"/>
    </row>
    <row r="51" spans="1:9" ht="15">
      <c r="A51" s="4" t="s">
        <v>19</v>
      </c>
      <c r="B51" s="91">
        <v>3170</v>
      </c>
      <c r="C51" s="154">
        <f>C52+C53+C54+C55+C56+C57</f>
        <v>3677.38</v>
      </c>
      <c r="D51" s="187">
        <f aca="true" t="shared" si="2" ref="D51:I51">D53+D54+D57</f>
        <v>1448</v>
      </c>
      <c r="E51" s="86">
        <f>E53+E54+E57</f>
        <v>96</v>
      </c>
      <c r="F51" s="86">
        <f>F53+F54+F57</f>
        <v>0</v>
      </c>
      <c r="G51" s="86">
        <f t="shared" si="2"/>
        <v>96</v>
      </c>
      <c r="H51" s="86">
        <f t="shared" si="2"/>
        <v>0</v>
      </c>
      <c r="I51" s="86">
        <f t="shared" si="2"/>
        <v>0</v>
      </c>
    </row>
    <row r="52" spans="1:9" ht="15">
      <c r="A52" s="4" t="s">
        <v>290</v>
      </c>
      <c r="B52" s="91" t="s">
        <v>241</v>
      </c>
      <c r="C52" s="154"/>
      <c r="D52" s="187"/>
      <c r="E52" s="86"/>
      <c r="F52" s="86"/>
      <c r="G52" s="86"/>
      <c r="H52" s="86"/>
      <c r="I52" s="86"/>
    </row>
    <row r="53" spans="1:9" ht="30">
      <c r="A53" s="4" t="s">
        <v>201</v>
      </c>
      <c r="B53" s="91" t="s">
        <v>242</v>
      </c>
      <c r="C53" s="154">
        <v>1278.37</v>
      </c>
      <c r="D53" s="154">
        <v>1400</v>
      </c>
      <c r="E53" s="128">
        <f>F53+G53+H53+I53</f>
        <v>0</v>
      </c>
      <c r="F53" s="87"/>
      <c r="G53" s="87"/>
      <c r="H53" s="87"/>
      <c r="I53" s="87"/>
    </row>
    <row r="54" spans="1:9" ht="60">
      <c r="A54" s="196" t="s">
        <v>203</v>
      </c>
      <c r="B54" s="91" t="s">
        <v>287</v>
      </c>
      <c r="C54" s="154"/>
      <c r="D54" s="154">
        <v>48</v>
      </c>
      <c r="E54" s="128">
        <f>F54+G54+H54+I54</f>
        <v>96</v>
      </c>
      <c r="F54" s="87"/>
      <c r="G54" s="87">
        <v>96</v>
      </c>
      <c r="H54" s="87"/>
      <c r="I54" s="87"/>
    </row>
    <row r="55" spans="1:9" ht="151.5" customHeight="1">
      <c r="A55" s="196" t="s">
        <v>283</v>
      </c>
      <c r="B55" s="91" t="s">
        <v>288</v>
      </c>
      <c r="C55" s="154">
        <v>19.53</v>
      </c>
      <c r="D55" s="154"/>
      <c r="E55" s="86"/>
      <c r="F55" s="87"/>
      <c r="G55" s="87"/>
      <c r="H55" s="87"/>
      <c r="I55" s="87"/>
    </row>
    <row r="56" spans="1:9" ht="75">
      <c r="A56" s="196" t="s">
        <v>289</v>
      </c>
      <c r="B56" s="91" t="s">
        <v>291</v>
      </c>
      <c r="C56" s="154">
        <v>1143.97</v>
      </c>
      <c r="D56" s="154"/>
      <c r="E56" s="87"/>
      <c r="F56" s="87"/>
      <c r="G56" s="87"/>
      <c r="H56" s="87"/>
      <c r="I56" s="87"/>
    </row>
    <row r="57" spans="1:9" ht="40.5" customHeight="1">
      <c r="A57" s="198" t="s">
        <v>303</v>
      </c>
      <c r="B57" s="91"/>
      <c r="C57" s="154">
        <v>1235.51</v>
      </c>
      <c r="D57" s="153"/>
      <c r="E57" s="93"/>
      <c r="F57" s="93"/>
      <c r="G57" s="93"/>
      <c r="H57" s="93"/>
      <c r="I57" s="93"/>
    </row>
    <row r="58" spans="1:9" ht="28.5">
      <c r="A58" s="8" t="s">
        <v>109</v>
      </c>
      <c r="B58" s="94">
        <v>3195</v>
      </c>
      <c r="C58" s="187"/>
      <c r="D58" s="187"/>
      <c r="E58" s="95"/>
      <c r="F58" s="95"/>
      <c r="G58" s="95"/>
      <c r="H58" s="95"/>
      <c r="I58" s="95"/>
    </row>
    <row r="59" spans="1:9" ht="19.5" customHeight="1">
      <c r="A59" s="239" t="s">
        <v>110</v>
      </c>
      <c r="B59" s="239"/>
      <c r="C59" s="239"/>
      <c r="D59" s="239"/>
      <c r="E59" s="239"/>
      <c r="F59" s="239"/>
      <c r="G59" s="239"/>
      <c r="H59" s="239"/>
      <c r="I59" s="239"/>
    </row>
    <row r="60" spans="1:9" ht="44.25" customHeight="1">
      <c r="A60" s="8" t="s">
        <v>111</v>
      </c>
      <c r="B60" s="94">
        <v>3200</v>
      </c>
      <c r="C60" s="187">
        <f>C64</f>
        <v>12360.5</v>
      </c>
      <c r="D60" s="186"/>
      <c r="E60" s="95"/>
      <c r="F60" s="95"/>
      <c r="G60" s="95"/>
      <c r="H60" s="95"/>
      <c r="I60" s="95"/>
    </row>
    <row r="61" spans="1:9" ht="30">
      <c r="A61" s="4" t="s">
        <v>112</v>
      </c>
      <c r="B61" s="89">
        <v>3210</v>
      </c>
      <c r="C61" s="188"/>
      <c r="D61" s="188"/>
      <c r="E61" s="92"/>
      <c r="F61" s="92"/>
      <c r="G61" s="92"/>
      <c r="H61" s="92"/>
      <c r="I61" s="92"/>
    </row>
    <row r="62" spans="1:9" ht="30" customHeight="1">
      <c r="A62" s="4" t="s">
        <v>113</v>
      </c>
      <c r="B62" s="91">
        <v>3220</v>
      </c>
      <c r="C62" s="188"/>
      <c r="D62" s="188"/>
      <c r="E62" s="92"/>
      <c r="F62" s="92"/>
      <c r="G62" s="92"/>
      <c r="H62" s="92"/>
      <c r="I62" s="92"/>
    </row>
    <row r="63" spans="1:9" ht="34.5" customHeight="1">
      <c r="A63" s="4" t="s">
        <v>327</v>
      </c>
      <c r="B63" s="91">
        <v>3230</v>
      </c>
      <c r="C63" s="188"/>
      <c r="D63" s="188"/>
      <c r="E63" s="92"/>
      <c r="F63" s="92"/>
      <c r="G63" s="92"/>
      <c r="H63" s="92"/>
      <c r="I63" s="92"/>
    </row>
    <row r="64" spans="1:9" ht="39" customHeight="1">
      <c r="A64" s="8" t="s">
        <v>114</v>
      </c>
      <c r="B64" s="94">
        <v>3255</v>
      </c>
      <c r="C64" s="187">
        <f aca="true" t="shared" si="3" ref="C64:I64">C65+C67</f>
        <v>12360.5</v>
      </c>
      <c r="D64" s="187">
        <f t="shared" si="3"/>
        <v>8480</v>
      </c>
      <c r="E64" s="86">
        <f t="shared" si="3"/>
        <v>11513.320000000002</v>
      </c>
      <c r="F64" s="86">
        <f t="shared" si="3"/>
        <v>1291.57</v>
      </c>
      <c r="G64" s="86">
        <f t="shared" si="3"/>
        <v>2317.35</v>
      </c>
      <c r="H64" s="86">
        <f t="shared" si="3"/>
        <v>6123.96</v>
      </c>
      <c r="I64" s="86">
        <f t="shared" si="3"/>
        <v>1780.44</v>
      </c>
    </row>
    <row r="65" spans="1:9" ht="45" customHeight="1">
      <c r="A65" s="4" t="s">
        <v>328</v>
      </c>
      <c r="B65" s="91">
        <v>3260</v>
      </c>
      <c r="C65" s="153">
        <v>12021</v>
      </c>
      <c r="D65" s="154">
        <v>8200</v>
      </c>
      <c r="E65" s="128">
        <f>F65+G65+H65+I65</f>
        <v>10993.320000000002</v>
      </c>
      <c r="F65" s="127">
        <f>800+421.57</f>
        <v>1221.57</v>
      </c>
      <c r="G65" s="127">
        <f>1950+217.35</f>
        <v>2167.35</v>
      </c>
      <c r="H65" s="127">
        <f>5800+173.96</f>
        <v>5973.96</v>
      </c>
      <c r="I65" s="127">
        <f>1500+130.44</f>
        <v>1630.44</v>
      </c>
    </row>
    <row r="66" spans="1:9" ht="31.5" customHeight="1">
      <c r="A66" s="4" t="s">
        <v>329</v>
      </c>
      <c r="B66" s="91">
        <v>3265</v>
      </c>
      <c r="C66" s="188"/>
      <c r="D66" s="188"/>
      <c r="E66" s="195"/>
      <c r="F66" s="92"/>
      <c r="G66" s="92"/>
      <c r="H66" s="92"/>
      <c r="I66" s="92"/>
    </row>
    <row r="67" spans="1:9" ht="54.75" customHeight="1">
      <c r="A67" s="4" t="s">
        <v>330</v>
      </c>
      <c r="B67" s="91">
        <v>3270</v>
      </c>
      <c r="C67" s="154">
        <v>339.5</v>
      </c>
      <c r="D67" s="154">
        <v>280</v>
      </c>
      <c r="E67" s="128">
        <f>F67+G67+H67+I67</f>
        <v>520</v>
      </c>
      <c r="F67" s="87">
        <v>70</v>
      </c>
      <c r="G67" s="87">
        <v>150</v>
      </c>
      <c r="H67" s="87">
        <v>150</v>
      </c>
      <c r="I67" s="87">
        <v>150</v>
      </c>
    </row>
    <row r="68" spans="1:9" ht="18.75" customHeight="1">
      <c r="A68" s="4" t="s">
        <v>19</v>
      </c>
      <c r="B68" s="91">
        <v>3280</v>
      </c>
      <c r="C68" s="188"/>
      <c r="D68" s="188"/>
      <c r="E68" s="92"/>
      <c r="F68" s="92"/>
      <c r="G68" s="92"/>
      <c r="H68" s="92"/>
      <c r="I68" s="92"/>
    </row>
    <row r="69" spans="1:9" ht="30.75" customHeight="1">
      <c r="A69" s="18" t="s">
        <v>115</v>
      </c>
      <c r="B69" s="94">
        <v>3295</v>
      </c>
      <c r="C69" s="186"/>
      <c r="D69" s="186"/>
      <c r="E69" s="95"/>
      <c r="F69" s="95"/>
      <c r="G69" s="95"/>
      <c r="H69" s="95"/>
      <c r="I69" s="95"/>
    </row>
    <row r="70" spans="1:9" ht="20.25" customHeight="1">
      <c r="A70" s="8" t="s">
        <v>116</v>
      </c>
      <c r="B70" s="94">
        <v>3400</v>
      </c>
      <c r="C70" s="192">
        <f>C72-C71</f>
        <v>11214.399999999994</v>
      </c>
      <c r="D70" s="186"/>
      <c r="E70" s="95"/>
      <c r="F70" s="95"/>
      <c r="G70" s="95"/>
      <c r="H70" s="95"/>
      <c r="I70" s="95"/>
    </row>
    <row r="71" spans="1:9" ht="36" customHeight="1">
      <c r="A71" s="4" t="s">
        <v>117</v>
      </c>
      <c r="B71" s="91">
        <v>3405</v>
      </c>
      <c r="C71" s="154">
        <v>998.3</v>
      </c>
      <c r="D71" s="188"/>
      <c r="E71" s="92"/>
      <c r="F71" s="92"/>
      <c r="G71" s="92"/>
      <c r="H71" s="92"/>
      <c r="I71" s="92"/>
    </row>
    <row r="72" spans="1:9" ht="33.75" customHeight="1">
      <c r="A72" s="4" t="s">
        <v>118</v>
      </c>
      <c r="B72" s="91">
        <v>3415</v>
      </c>
      <c r="C72" s="154">
        <f>C15-C37-C64+C71</f>
        <v>12212.699999999993</v>
      </c>
      <c r="D72" s="154"/>
      <c r="E72" s="87"/>
      <c r="F72" s="87"/>
      <c r="G72" s="87"/>
      <c r="H72" s="87"/>
      <c r="I72" s="87"/>
    </row>
    <row r="73" spans="1:9" ht="12.75">
      <c r="A73" s="98"/>
      <c r="B73" s="99"/>
      <c r="C73" s="100"/>
      <c r="D73" s="101"/>
      <c r="E73" s="102"/>
      <c r="F73" s="101"/>
      <c r="G73" s="101"/>
      <c r="H73" s="101"/>
      <c r="I73" s="101"/>
    </row>
    <row r="74" spans="1:15" ht="21" customHeight="1">
      <c r="A74" s="114" t="s">
        <v>260</v>
      </c>
      <c r="B74" s="27"/>
      <c r="C74" s="231" t="s">
        <v>253</v>
      </c>
      <c r="D74" s="232"/>
      <c r="E74" s="232"/>
      <c r="F74" s="28"/>
      <c r="G74" s="233" t="s">
        <v>265</v>
      </c>
      <c r="H74" s="233"/>
      <c r="I74" s="233"/>
      <c r="K74" s="103"/>
      <c r="L74" s="104"/>
      <c r="M74" s="105"/>
      <c r="N74" s="105"/>
      <c r="O74" s="105"/>
    </row>
    <row r="75" spans="1:15" ht="15">
      <c r="A75" s="30" t="s">
        <v>299</v>
      </c>
      <c r="B75" s="29"/>
      <c r="C75" s="230" t="s">
        <v>92</v>
      </c>
      <c r="D75" s="230"/>
      <c r="E75" s="230"/>
      <c r="F75" s="31"/>
      <c r="G75" s="31" t="s">
        <v>91</v>
      </c>
      <c r="H75" s="13"/>
      <c r="I75" s="32"/>
      <c r="K75" s="106"/>
      <c r="L75" s="107"/>
      <c r="M75" s="108"/>
      <c r="N75" s="108"/>
      <c r="O75" s="108"/>
    </row>
    <row r="76" spans="1:9" ht="14.25">
      <c r="A76" s="13"/>
      <c r="B76" s="13"/>
      <c r="C76" s="13"/>
      <c r="D76" s="13"/>
      <c r="E76" s="155"/>
      <c r="F76" s="155"/>
      <c r="G76" s="155"/>
      <c r="H76" s="155"/>
      <c r="I76" s="155"/>
    </row>
    <row r="77" spans="1:9" ht="30">
      <c r="A77" s="114" t="s">
        <v>248</v>
      </c>
      <c r="B77" s="13"/>
      <c r="C77" s="231" t="s">
        <v>121</v>
      </c>
      <c r="D77" s="232"/>
      <c r="E77" s="232"/>
      <c r="F77" s="13"/>
      <c r="G77" s="233" t="s">
        <v>297</v>
      </c>
      <c r="H77" s="233"/>
      <c r="I77" s="233"/>
    </row>
    <row r="78" spans="1:9" ht="15">
      <c r="A78" s="114"/>
      <c r="B78" s="13"/>
      <c r="C78" s="230" t="s">
        <v>92</v>
      </c>
      <c r="D78" s="230"/>
      <c r="E78" s="230"/>
      <c r="F78" s="13"/>
      <c r="G78" s="31" t="s">
        <v>91</v>
      </c>
      <c r="H78" s="13"/>
      <c r="I78" s="13"/>
    </row>
    <row r="79" spans="1:9" ht="27" customHeight="1">
      <c r="A79" s="114" t="s">
        <v>234</v>
      </c>
      <c r="B79" s="27"/>
      <c r="C79" s="231" t="s">
        <v>121</v>
      </c>
      <c r="D79" s="232"/>
      <c r="E79" s="232"/>
      <c r="F79" s="28"/>
      <c r="G79" s="233" t="s">
        <v>298</v>
      </c>
      <c r="H79" s="233"/>
      <c r="I79" s="233"/>
    </row>
    <row r="80" spans="1:9" ht="15">
      <c r="A80" s="30" t="s">
        <v>299</v>
      </c>
      <c r="B80" s="29"/>
      <c r="C80" s="230" t="s">
        <v>92</v>
      </c>
      <c r="D80" s="230"/>
      <c r="E80" s="230"/>
      <c r="F80" s="31"/>
      <c r="G80" s="31" t="s">
        <v>91</v>
      </c>
      <c r="H80" s="13"/>
      <c r="I80" s="32"/>
    </row>
    <row r="81" spans="1:9" ht="14.2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4.2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ht="12.75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 ht="12.75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ht="12.75">
      <c r="A86" s="109"/>
      <c r="B86" s="109"/>
      <c r="C86" s="109"/>
      <c r="D86" s="109"/>
      <c r="E86" s="109"/>
      <c r="F86" s="109"/>
      <c r="G86" s="109"/>
      <c r="H86" s="109"/>
      <c r="I86" s="109"/>
    </row>
  </sheetData>
  <sheetProtection/>
  <mergeCells count="19">
    <mergeCell ref="C78:E78"/>
    <mergeCell ref="C79:E79"/>
    <mergeCell ref="G79:I79"/>
    <mergeCell ref="C80:E80"/>
    <mergeCell ref="G1:I1"/>
    <mergeCell ref="A2:I2"/>
    <mergeCell ref="A4:A5"/>
    <mergeCell ref="B4:B5"/>
    <mergeCell ref="C4:C5"/>
    <mergeCell ref="D4:D5"/>
    <mergeCell ref="E4:E5"/>
    <mergeCell ref="F4:I4"/>
    <mergeCell ref="C75:E75"/>
    <mergeCell ref="C77:E77"/>
    <mergeCell ref="G77:I77"/>
    <mergeCell ref="A7:I7"/>
    <mergeCell ref="A59:I59"/>
    <mergeCell ref="C74:E74"/>
    <mergeCell ref="G74:I7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="120" zoomScaleNormal="120" zoomScaleSheetLayoutView="90" zoomScalePageLayoutView="0" workbookViewId="0" topLeftCell="A13">
      <selection activeCell="B32" sqref="B32"/>
    </sheetView>
  </sheetViews>
  <sheetFormatPr defaultColWidth="9.140625" defaultRowHeight="12.75"/>
  <cols>
    <col min="1" max="1" width="21.00390625" style="13" customWidth="1"/>
    <col min="2" max="2" width="6.00390625" style="13" customWidth="1"/>
    <col min="3" max="3" width="9.57421875" style="13" customWidth="1"/>
    <col min="4" max="4" width="9.421875" style="13" customWidth="1"/>
    <col min="5" max="5" width="9.28125" style="13" customWidth="1"/>
    <col min="6" max="6" width="8.00390625" style="13" customWidth="1"/>
    <col min="7" max="8" width="7.7109375" style="13" customWidth="1"/>
    <col min="9" max="9" width="7.57421875" style="13" customWidth="1"/>
    <col min="10" max="16384" width="9.140625" style="13" customWidth="1"/>
  </cols>
  <sheetData>
    <row r="1" spans="7:9" ht="15.75">
      <c r="G1" s="226" t="s">
        <v>168</v>
      </c>
      <c r="H1" s="226"/>
      <c r="I1" s="226"/>
    </row>
    <row r="2" spans="1:9" ht="15.75">
      <c r="A2" s="240" t="s">
        <v>123</v>
      </c>
      <c r="B2" s="240"/>
      <c r="C2" s="240"/>
      <c r="D2" s="240"/>
      <c r="E2" s="240"/>
      <c r="F2" s="240"/>
      <c r="G2" s="240"/>
      <c r="H2" s="240"/>
      <c r="I2" s="240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77.25" customHeight="1">
      <c r="A4" s="5" t="s">
        <v>1</v>
      </c>
      <c r="B4" s="6" t="s">
        <v>2</v>
      </c>
      <c r="C4" s="6" t="s">
        <v>350</v>
      </c>
      <c r="D4" s="6" t="s">
        <v>351</v>
      </c>
      <c r="E4" s="6" t="s">
        <v>352</v>
      </c>
      <c r="F4" s="244" t="s">
        <v>6</v>
      </c>
      <c r="G4" s="245"/>
      <c r="H4" s="245"/>
      <c r="I4" s="246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54" customHeight="1">
      <c r="A7" s="8" t="s">
        <v>124</v>
      </c>
      <c r="B7" s="33">
        <v>4000</v>
      </c>
      <c r="C7" s="201">
        <f>C9+C10</f>
        <v>12360.5</v>
      </c>
      <c r="D7" s="201">
        <f>D9+D10</f>
        <v>8480</v>
      </c>
      <c r="E7" s="199">
        <f>F7+G7+H7+I7</f>
        <v>11513.320000000002</v>
      </c>
      <c r="F7" s="127">
        <f>F9+F10</f>
        <v>1291.57</v>
      </c>
      <c r="G7" s="127">
        <f>G9+G10</f>
        <v>2317.35</v>
      </c>
      <c r="H7" s="127">
        <f>H9+H10</f>
        <v>6123.96</v>
      </c>
      <c r="I7" s="127">
        <f>I9+I10</f>
        <v>1780.44</v>
      </c>
    </row>
    <row r="8" spans="1:9" ht="39.75" customHeight="1">
      <c r="A8" s="4" t="s">
        <v>125</v>
      </c>
      <c r="B8" s="34" t="s">
        <v>126</v>
      </c>
      <c r="C8" s="178"/>
      <c r="D8" s="178"/>
      <c r="E8" s="21"/>
      <c r="F8" s="9"/>
      <c r="G8" s="9"/>
      <c r="H8" s="9"/>
      <c r="I8" s="9"/>
    </row>
    <row r="9" spans="1:9" ht="45" customHeight="1">
      <c r="A9" s="4" t="s">
        <v>127</v>
      </c>
      <c r="B9" s="33">
        <v>4020</v>
      </c>
      <c r="C9" s="153">
        <v>12021</v>
      </c>
      <c r="D9" s="150">
        <v>8200</v>
      </c>
      <c r="E9" s="199">
        <f>F9+G9+H9+I9</f>
        <v>10993.320000000002</v>
      </c>
      <c r="F9" s="127">
        <f>800+421.57</f>
        <v>1221.57</v>
      </c>
      <c r="G9" s="127">
        <f>1950+217.35</f>
        <v>2167.35</v>
      </c>
      <c r="H9" s="127">
        <f>5800+173.96</f>
        <v>5973.96</v>
      </c>
      <c r="I9" s="127">
        <f>1500+130.44</f>
        <v>1630.44</v>
      </c>
    </row>
    <row r="10" spans="1:9" ht="70.5" customHeight="1">
      <c r="A10" s="4" t="s">
        <v>128</v>
      </c>
      <c r="B10" s="34">
        <v>4030</v>
      </c>
      <c r="C10" s="154">
        <v>339.5</v>
      </c>
      <c r="D10" s="150">
        <v>280</v>
      </c>
      <c r="E10" s="200">
        <f>F10+G10+H10+I10</f>
        <v>520</v>
      </c>
      <c r="F10" s="87">
        <v>70</v>
      </c>
      <c r="G10" s="87">
        <v>150</v>
      </c>
      <c r="H10" s="87">
        <v>150</v>
      </c>
      <c r="I10" s="87">
        <v>150</v>
      </c>
    </row>
    <row r="11" spans="1:9" ht="63" customHeight="1">
      <c r="A11" s="4" t="s">
        <v>129</v>
      </c>
      <c r="B11" s="33">
        <v>4040</v>
      </c>
      <c r="C11" s="178"/>
      <c r="D11" s="178"/>
      <c r="E11" s="21"/>
      <c r="F11" s="9"/>
      <c r="G11" s="9"/>
      <c r="H11" s="9"/>
      <c r="I11" s="9"/>
    </row>
    <row r="12" spans="1:9" ht="93" customHeight="1">
      <c r="A12" s="4" t="s">
        <v>130</v>
      </c>
      <c r="B12" s="34">
        <v>4050</v>
      </c>
      <c r="C12" s="178"/>
      <c r="D12" s="178"/>
      <c r="E12" s="21"/>
      <c r="F12" s="9"/>
      <c r="G12" s="9"/>
      <c r="H12" s="9"/>
      <c r="I12" s="9"/>
    </row>
    <row r="13" spans="1:9" ht="25.5" customHeight="1">
      <c r="A13" s="4" t="s">
        <v>131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 customHeight="1">
      <c r="A17" s="114" t="s">
        <v>258</v>
      </c>
      <c r="B17" s="27"/>
      <c r="C17" s="231" t="s">
        <v>252</v>
      </c>
      <c r="D17" s="232"/>
      <c r="E17" s="232"/>
      <c r="F17" s="28"/>
      <c r="G17" s="233" t="s">
        <v>265</v>
      </c>
      <c r="H17" s="233"/>
      <c r="I17" s="233"/>
    </row>
    <row r="18" spans="1:9" ht="15">
      <c r="A18" s="30" t="s">
        <v>299</v>
      </c>
      <c r="B18" s="29"/>
      <c r="C18" s="230" t="s">
        <v>92</v>
      </c>
      <c r="D18" s="230"/>
      <c r="E18" s="230"/>
      <c r="F18" s="31"/>
      <c r="G18" s="31" t="s">
        <v>91</v>
      </c>
      <c r="I18" s="32"/>
    </row>
    <row r="20" spans="1:9" ht="28.5" customHeight="1">
      <c r="A20" s="114" t="s">
        <v>248</v>
      </c>
      <c r="C20" s="231" t="s">
        <v>251</v>
      </c>
      <c r="D20" s="232"/>
      <c r="E20" s="232"/>
      <c r="G20" s="233" t="s">
        <v>297</v>
      </c>
      <c r="H20" s="233"/>
      <c r="I20" s="233"/>
    </row>
    <row r="21" spans="1:7" ht="15" customHeight="1">
      <c r="A21" s="30" t="s">
        <v>299</v>
      </c>
      <c r="C21" s="230" t="s">
        <v>92</v>
      </c>
      <c r="D21" s="230"/>
      <c r="E21" s="230"/>
      <c r="G21" s="31" t="s">
        <v>91</v>
      </c>
    </row>
    <row r="22" spans="1:9" ht="20.25" customHeight="1">
      <c r="A22" s="114" t="s">
        <v>234</v>
      </c>
      <c r="B22" s="27"/>
      <c r="C22" s="231" t="s">
        <v>251</v>
      </c>
      <c r="D22" s="232"/>
      <c r="E22" s="232"/>
      <c r="F22" s="28"/>
      <c r="G22" s="233" t="s">
        <v>298</v>
      </c>
      <c r="H22" s="233"/>
      <c r="I22" s="233"/>
    </row>
    <row r="23" spans="1:9" ht="40.5" customHeight="1">
      <c r="A23" s="29" t="s">
        <v>299</v>
      </c>
      <c r="B23" s="29"/>
      <c r="C23" s="230" t="s">
        <v>92</v>
      </c>
      <c r="D23" s="230"/>
      <c r="E23" s="230"/>
      <c r="F23" s="31"/>
      <c r="G23" s="31" t="s">
        <v>91</v>
      </c>
      <c r="I23" s="32"/>
    </row>
  </sheetData>
  <sheetProtection/>
  <mergeCells count="12">
    <mergeCell ref="C22:E22"/>
    <mergeCell ref="G22:I22"/>
    <mergeCell ref="C23:E23"/>
    <mergeCell ref="G1:I1"/>
    <mergeCell ref="A2:I2"/>
    <mergeCell ref="F4:I4"/>
    <mergeCell ref="C17:E17"/>
    <mergeCell ref="G17:I17"/>
    <mergeCell ref="C18:E18"/>
    <mergeCell ref="C20:E20"/>
    <mergeCell ref="G20:I20"/>
    <mergeCell ref="C21:E2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34"/>
  <sheetViews>
    <sheetView zoomScale="120" zoomScaleNormal="120" zoomScaleSheetLayoutView="110" zoomScalePageLayoutView="0" workbookViewId="0" topLeftCell="A22">
      <selection activeCell="A2" sqref="A2:D2"/>
    </sheetView>
  </sheetViews>
  <sheetFormatPr defaultColWidth="9.140625" defaultRowHeight="12.75"/>
  <cols>
    <col min="1" max="1" width="38.7109375" style="205" customWidth="1"/>
    <col min="2" max="2" width="14.8515625" style="205" customWidth="1"/>
    <col min="3" max="3" width="15.8515625" style="205" customWidth="1"/>
    <col min="4" max="4" width="17.00390625" style="205" customWidth="1"/>
    <col min="5" max="16384" width="9.140625" style="205" customWidth="1"/>
  </cols>
  <sheetData>
    <row r="1" spans="1:4" ht="15.75">
      <c r="A1" s="65"/>
      <c r="B1" s="65"/>
      <c r="D1" s="62" t="s">
        <v>169</v>
      </c>
    </row>
    <row r="2" spans="1:4" ht="15.75">
      <c r="A2" s="240" t="s">
        <v>171</v>
      </c>
      <c r="B2" s="240"/>
      <c r="C2" s="240"/>
      <c r="D2" s="240"/>
    </row>
    <row r="3" spans="1:4" ht="15.75">
      <c r="A3" s="37"/>
      <c r="B3" s="37"/>
      <c r="C3" s="37"/>
      <c r="D3" s="37"/>
    </row>
    <row r="4" spans="1:4" ht="45.75" customHeight="1">
      <c r="A4" s="36" t="s">
        <v>1</v>
      </c>
      <c r="B4" s="6" t="s">
        <v>350</v>
      </c>
      <c r="C4" s="6" t="s">
        <v>353</v>
      </c>
      <c r="D4" s="6" t="s">
        <v>354</v>
      </c>
    </row>
    <row r="5" spans="1:4" ht="12.75">
      <c r="A5" s="38">
        <v>1</v>
      </c>
      <c r="B5" s="39">
        <v>2</v>
      </c>
      <c r="C5" s="39">
        <v>3</v>
      </c>
      <c r="D5" s="39">
        <v>4</v>
      </c>
    </row>
    <row r="6" spans="1:4" ht="75" customHeight="1">
      <c r="A6" s="76" t="s">
        <v>172</v>
      </c>
      <c r="B6" s="159">
        <v>505</v>
      </c>
      <c r="C6" s="118">
        <f>C7+C8+C9</f>
        <v>489.25</v>
      </c>
      <c r="D6" s="118">
        <f>D7+D8+D9</f>
        <v>428.5</v>
      </c>
    </row>
    <row r="7" spans="1:4" ht="15" customHeight="1">
      <c r="A7" s="77" t="s">
        <v>134</v>
      </c>
      <c r="B7" s="153">
        <v>1</v>
      </c>
      <c r="C7" s="194">
        <v>1</v>
      </c>
      <c r="D7" s="194">
        <v>1</v>
      </c>
    </row>
    <row r="8" spans="1:4" ht="30" customHeight="1">
      <c r="A8" s="77" t="s">
        <v>135</v>
      </c>
      <c r="B8" s="153">
        <v>64</v>
      </c>
      <c r="C8" s="119">
        <v>63.25</v>
      </c>
      <c r="D8" s="206">
        <v>46.25</v>
      </c>
    </row>
    <row r="9" spans="1:4" ht="15" customHeight="1">
      <c r="A9" s="77" t="s">
        <v>136</v>
      </c>
      <c r="B9" s="153">
        <v>440</v>
      </c>
      <c r="C9" s="119">
        <v>425</v>
      </c>
      <c r="D9" s="206">
        <v>381.25</v>
      </c>
    </row>
    <row r="10" spans="1:4" ht="21.75" customHeight="1">
      <c r="A10" s="76" t="s">
        <v>137</v>
      </c>
      <c r="B10" s="193">
        <f>B11+B12+B13</f>
        <v>50274.74</v>
      </c>
      <c r="C10" s="171">
        <v>69154.2</v>
      </c>
      <c r="D10" s="207">
        <f>D11+D12+D13</f>
        <v>82851.09</v>
      </c>
    </row>
    <row r="11" spans="1:4" ht="15" customHeight="1">
      <c r="A11" s="77" t="s">
        <v>134</v>
      </c>
      <c r="B11" s="153">
        <v>340.07</v>
      </c>
      <c r="C11" s="172">
        <v>420.75</v>
      </c>
      <c r="D11" s="208">
        <v>585</v>
      </c>
    </row>
    <row r="12" spans="1:4" ht="30.75" customHeight="1">
      <c r="A12" s="77" t="s">
        <v>135</v>
      </c>
      <c r="B12" s="153">
        <v>5104.5</v>
      </c>
      <c r="C12" s="172">
        <v>7129.25</v>
      </c>
      <c r="D12" s="208">
        <v>7815</v>
      </c>
    </row>
    <row r="13" spans="1:4" ht="15" customHeight="1">
      <c r="A13" s="77" t="s">
        <v>136</v>
      </c>
      <c r="B13" s="153">
        <v>44830.17</v>
      </c>
      <c r="C13" s="172">
        <v>61604.2</v>
      </c>
      <c r="D13" s="208">
        <v>74451.09</v>
      </c>
    </row>
    <row r="14" spans="1:4" ht="37.5" customHeight="1">
      <c r="A14" s="76" t="s">
        <v>167</v>
      </c>
      <c r="B14" s="193">
        <f aca="true" t="shared" si="0" ref="B14:D17">B10/B6/12*1000</f>
        <v>8296.161716171617</v>
      </c>
      <c r="C14" s="171">
        <f t="shared" si="0"/>
        <v>11778.947368421052</v>
      </c>
      <c r="D14" s="207">
        <f>D10/D6/12*1000</f>
        <v>16112.619603267209</v>
      </c>
    </row>
    <row r="15" spans="1:4" ht="15" customHeight="1">
      <c r="A15" s="77" t="s">
        <v>134</v>
      </c>
      <c r="B15" s="193">
        <f t="shared" si="0"/>
        <v>28339.166666666668</v>
      </c>
      <c r="C15" s="171">
        <f t="shared" si="0"/>
        <v>35062.5</v>
      </c>
      <c r="D15" s="207">
        <f>D11/D7/12*1000</f>
        <v>48750</v>
      </c>
    </row>
    <row r="16" spans="1:4" ht="31.5" customHeight="1">
      <c r="A16" s="77" t="s">
        <v>135</v>
      </c>
      <c r="B16" s="193">
        <f t="shared" si="0"/>
        <v>6646.484375</v>
      </c>
      <c r="C16" s="171">
        <f t="shared" si="0"/>
        <v>9392.951251646904</v>
      </c>
      <c r="D16" s="207">
        <f>D12/D8/12*1000</f>
        <v>14081.08108108108</v>
      </c>
    </row>
    <row r="17" spans="1:4" ht="15" customHeight="1">
      <c r="A17" s="77" t="s">
        <v>136</v>
      </c>
      <c r="B17" s="193">
        <f t="shared" si="0"/>
        <v>8490.5625</v>
      </c>
      <c r="C17" s="171">
        <f t="shared" si="0"/>
        <v>12079.254901960781</v>
      </c>
      <c r="D17" s="207">
        <f t="shared" si="0"/>
        <v>16273.462295081967</v>
      </c>
    </row>
    <row r="18" spans="1:4" ht="30" customHeight="1">
      <c r="A18" s="76" t="s">
        <v>138</v>
      </c>
      <c r="B18" s="193">
        <f>B19+B20+B21</f>
        <v>61185.85</v>
      </c>
      <c r="C18" s="171">
        <f>C19+C20+C21</f>
        <v>84325.94</v>
      </c>
      <c r="D18" s="207">
        <f>D19+D20+D21</f>
        <v>100950.04033148999</v>
      </c>
    </row>
    <row r="19" spans="1:4" ht="15" customHeight="1">
      <c r="A19" s="77" t="s">
        <v>134</v>
      </c>
      <c r="B19" s="193">
        <v>414.89</v>
      </c>
      <c r="C19" s="171">
        <v>513.06</v>
      </c>
      <c r="D19" s="207">
        <f>D11*1.21774047</f>
        <v>712.37817495</v>
      </c>
    </row>
    <row r="20" spans="1:4" ht="27.75" customHeight="1">
      <c r="A20" s="77" t="s">
        <v>135</v>
      </c>
      <c r="B20" s="193">
        <v>6227.49</v>
      </c>
      <c r="C20" s="171">
        <v>8692.94</v>
      </c>
      <c r="D20" s="207">
        <f>D12*1.217740476</f>
        <v>9516.64181994</v>
      </c>
    </row>
    <row r="21" spans="1:4" ht="15" customHeight="1">
      <c r="A21" s="77" t="s">
        <v>136</v>
      </c>
      <c r="B21" s="193">
        <v>54543.47</v>
      </c>
      <c r="C21" s="171">
        <v>75119.94</v>
      </c>
      <c r="D21" s="207">
        <f>D13*1.21774+58.95</f>
        <v>90721.02033659999</v>
      </c>
    </row>
    <row r="22" spans="1:4" ht="45" customHeight="1">
      <c r="A22" s="76" t="s">
        <v>139</v>
      </c>
      <c r="B22" s="193">
        <f>B18/B6/12*1000</f>
        <v>10096.674917491748</v>
      </c>
      <c r="C22" s="171">
        <f>C18/C6/12*1000</f>
        <v>14363.13064213933</v>
      </c>
      <c r="D22" s="207">
        <f>D18/D6/12*1000</f>
        <v>19632.446583331388</v>
      </c>
    </row>
    <row r="23" spans="1:4" ht="15" customHeight="1">
      <c r="A23" s="77" t="s">
        <v>134</v>
      </c>
      <c r="B23" s="193">
        <f>B19/B7/12*1000</f>
        <v>34574.166666666664</v>
      </c>
      <c r="C23" s="171">
        <v>42755.21</v>
      </c>
      <c r="D23" s="207">
        <f>D19/D7/12*1000</f>
        <v>59364.8479125</v>
      </c>
    </row>
    <row r="24" spans="1:4" ht="33" customHeight="1">
      <c r="A24" s="77" t="s">
        <v>135</v>
      </c>
      <c r="B24" s="193">
        <f>B20/B8/12*1000</f>
        <v>8108.7109375</v>
      </c>
      <c r="C24" s="171">
        <v>11453.15</v>
      </c>
      <c r="D24" s="207">
        <f>D20/D8/12*1000</f>
        <v>17147.10237827027</v>
      </c>
    </row>
    <row r="25" spans="1:4" ht="15" customHeight="1">
      <c r="A25" s="77" t="s">
        <v>136</v>
      </c>
      <c r="B25" s="193">
        <f>B21/B9/12*1000</f>
        <v>10330.202651515152</v>
      </c>
      <c r="C25" s="171">
        <f>C21/C9/12*1000</f>
        <v>14729.4</v>
      </c>
      <c r="D25" s="207">
        <f>D21/D9/12*1000</f>
        <v>19829.73122111475</v>
      </c>
    </row>
    <row r="27" spans="1:4" ht="18" customHeight="1">
      <c r="A27" s="114" t="s">
        <v>260</v>
      </c>
      <c r="C27" s="230" t="s">
        <v>265</v>
      </c>
      <c r="D27" s="230"/>
    </row>
    <row r="28" spans="1:4" ht="15">
      <c r="A28" s="30"/>
      <c r="C28" s="247" t="s">
        <v>91</v>
      </c>
      <c r="D28" s="247"/>
    </row>
    <row r="29" spans="1:4" ht="21" customHeight="1">
      <c r="A29" s="248" t="s">
        <v>300</v>
      </c>
      <c r="B29" s="248"/>
      <c r="C29" s="230" t="s">
        <v>297</v>
      </c>
      <c r="D29" s="230"/>
    </row>
    <row r="30" spans="1:4" ht="15">
      <c r="A30" s="114"/>
      <c r="B30" s="13"/>
      <c r="C30" s="247" t="s">
        <v>91</v>
      </c>
      <c r="D30" s="247"/>
    </row>
    <row r="31" spans="1:4" ht="20.25" customHeight="1">
      <c r="A31" s="114" t="s">
        <v>234</v>
      </c>
      <c r="B31" s="13"/>
      <c r="C31" s="230" t="s">
        <v>298</v>
      </c>
      <c r="D31" s="230"/>
    </row>
    <row r="32" spans="1:4" ht="15">
      <c r="A32" s="30"/>
      <c r="B32" s="13"/>
      <c r="C32" s="247" t="s">
        <v>91</v>
      </c>
      <c r="D32" s="247"/>
    </row>
    <row r="33" spans="1:4" ht="15">
      <c r="A33" s="114"/>
      <c r="B33" s="27"/>
      <c r="C33" s="231"/>
      <c r="D33" s="232"/>
    </row>
    <row r="34" spans="1:4" ht="15">
      <c r="A34" s="30"/>
      <c r="B34" s="29"/>
      <c r="C34" s="230"/>
      <c r="D34" s="230"/>
    </row>
  </sheetData>
  <sheetProtection/>
  <mergeCells count="10">
    <mergeCell ref="A2:D2"/>
    <mergeCell ref="A29:B29"/>
    <mergeCell ref="C27:D27"/>
    <mergeCell ref="C28:D28"/>
    <mergeCell ref="C29:D29"/>
    <mergeCell ref="C34:D34"/>
    <mergeCell ref="C30:D30"/>
    <mergeCell ref="C31:D31"/>
    <mergeCell ref="C32:D32"/>
    <mergeCell ref="C33:D3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zoomScaleNormal="120" zoomScalePageLayoutView="0" workbookViewId="0" topLeftCell="A1">
      <selection activeCell="H22" sqref="H2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65"/>
      <c r="B1" s="65"/>
      <c r="D1" s="62" t="s">
        <v>169</v>
      </c>
    </row>
    <row r="2" spans="1:4" ht="15.75">
      <c r="A2" s="240" t="s">
        <v>171</v>
      </c>
      <c r="B2" s="240"/>
      <c r="C2" s="240"/>
      <c r="D2" s="240"/>
    </row>
    <row r="3" spans="1:4" ht="15.75">
      <c r="A3" s="37"/>
      <c r="B3" s="37"/>
      <c r="C3" s="37"/>
      <c r="D3" s="37"/>
    </row>
    <row r="4" spans="1:7" ht="68.25" customHeight="1">
      <c r="A4" s="36" t="s">
        <v>1</v>
      </c>
      <c r="B4" s="6" t="s">
        <v>3</v>
      </c>
      <c r="C4" s="6" t="s">
        <v>132</v>
      </c>
      <c r="D4" s="6" t="s">
        <v>133</v>
      </c>
      <c r="G4" s="117" t="s">
        <v>256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8" ht="75" customHeight="1">
      <c r="A6" s="76" t="s">
        <v>172</v>
      </c>
      <c r="B6" s="68"/>
      <c r="C6" s="69"/>
      <c r="D6" s="118">
        <f>D7+D8+D9</f>
        <v>499.5</v>
      </c>
      <c r="H6" t="s">
        <v>244</v>
      </c>
    </row>
    <row r="7" spans="1:4" ht="15" customHeight="1">
      <c r="A7" s="77" t="s">
        <v>134</v>
      </c>
      <c r="B7" s="41"/>
      <c r="C7" s="42"/>
      <c r="D7" s="119">
        <v>1</v>
      </c>
    </row>
    <row r="8" spans="1:4" ht="30" customHeight="1">
      <c r="A8" s="77" t="s">
        <v>135</v>
      </c>
      <c r="B8" s="41"/>
      <c r="C8" s="42"/>
      <c r="D8" s="120">
        <v>67.25</v>
      </c>
    </row>
    <row r="9" spans="1:4" ht="15" customHeight="1">
      <c r="A9" s="77" t="s">
        <v>136</v>
      </c>
      <c r="B9" s="41"/>
      <c r="C9" s="42"/>
      <c r="D9" s="119">
        <v>431.25</v>
      </c>
    </row>
    <row r="10" spans="1:6" ht="29.25" customHeight="1">
      <c r="A10" s="76" t="s">
        <v>137</v>
      </c>
      <c r="B10" s="68"/>
      <c r="C10" s="69"/>
      <c r="D10" s="83">
        <f>D11+D12+D13</f>
        <v>43494.91</v>
      </c>
      <c r="F10">
        <f>F11+F12+F13</f>
        <v>43494.91</v>
      </c>
    </row>
    <row r="11" spans="1:7" ht="15" customHeight="1">
      <c r="A11" s="77" t="s">
        <v>134</v>
      </c>
      <c r="B11" s="41"/>
      <c r="C11" s="42"/>
      <c r="D11" s="110">
        <v>235.7</v>
      </c>
      <c r="F11" s="117">
        <v>360</v>
      </c>
      <c r="G11" t="s">
        <v>243</v>
      </c>
    </row>
    <row r="12" spans="1:6" ht="30" customHeight="1">
      <c r="A12" s="77" t="s">
        <v>135</v>
      </c>
      <c r="B12" s="41"/>
      <c r="C12" s="42"/>
      <c r="D12" s="111">
        <v>4964.3</v>
      </c>
      <c r="F12">
        <v>4840</v>
      </c>
    </row>
    <row r="13" spans="1:6" ht="15" customHeight="1">
      <c r="A13" s="77" t="s">
        <v>136</v>
      </c>
      <c r="B13" s="41"/>
      <c r="C13" s="42"/>
      <c r="D13" s="111">
        <v>38294.91</v>
      </c>
      <c r="F13">
        <v>38294.91</v>
      </c>
    </row>
    <row r="14" spans="1:4" ht="45" customHeight="1">
      <c r="A14" s="76" t="s">
        <v>167</v>
      </c>
      <c r="B14" s="66"/>
      <c r="C14" s="40"/>
      <c r="D14" s="112">
        <f>D10/D6/12*1000</f>
        <v>7256.408074741408</v>
      </c>
    </row>
    <row r="15" spans="1:4" ht="15" customHeight="1">
      <c r="A15" s="77" t="s">
        <v>134</v>
      </c>
      <c r="B15" s="67"/>
      <c r="C15" s="43"/>
      <c r="D15" s="112">
        <f>D11/D7/12*1000</f>
        <v>19641.666666666664</v>
      </c>
    </row>
    <row r="16" spans="1:4" ht="30" customHeight="1">
      <c r="A16" s="77" t="s">
        <v>135</v>
      </c>
      <c r="B16" s="67"/>
      <c r="C16" s="43"/>
      <c r="D16" s="112">
        <f>D12/D8/12*1000</f>
        <v>6151.548946716233</v>
      </c>
    </row>
    <row r="17" spans="1:4" ht="15" customHeight="1">
      <c r="A17" s="77" t="s">
        <v>136</v>
      </c>
      <c r="B17" s="67"/>
      <c r="C17" s="43"/>
      <c r="D17" s="112">
        <f>D13/D9/12*1000</f>
        <v>7399.982608695653</v>
      </c>
    </row>
    <row r="18" spans="1:4" ht="30" customHeight="1">
      <c r="A18" s="76" t="s">
        <v>138</v>
      </c>
      <c r="B18" s="68"/>
      <c r="C18" s="69"/>
      <c r="D18" s="112">
        <f>D19+D20+D21</f>
        <v>53033.73</v>
      </c>
    </row>
    <row r="19" spans="1:4" ht="15" customHeight="1">
      <c r="A19" s="77" t="s">
        <v>134</v>
      </c>
      <c r="B19" s="41"/>
      <c r="C19" s="42"/>
      <c r="D19" s="112">
        <f>D11*1.22</f>
        <v>287.554</v>
      </c>
    </row>
    <row r="20" spans="1:4" ht="30" customHeight="1">
      <c r="A20" s="77" t="s">
        <v>135</v>
      </c>
      <c r="B20" s="41"/>
      <c r="C20" s="42"/>
      <c r="D20" s="112">
        <f>D12*1.22</f>
        <v>6056.446</v>
      </c>
    </row>
    <row r="21" spans="1:4" ht="15" customHeight="1">
      <c r="A21" s="77" t="s">
        <v>136</v>
      </c>
      <c r="B21" s="41"/>
      <c r="C21" s="42"/>
      <c r="D21" s="112">
        <v>46689.73</v>
      </c>
    </row>
    <row r="22" spans="1:4" ht="45" customHeight="1">
      <c r="A22" s="76" t="s">
        <v>139</v>
      </c>
      <c r="B22" s="66"/>
      <c r="C22" s="40"/>
      <c r="D22" s="112">
        <f>D18/D6/12*1000</f>
        <v>8847.802802802804</v>
      </c>
    </row>
    <row r="23" spans="1:4" ht="15" customHeight="1">
      <c r="A23" s="77" t="s">
        <v>134</v>
      </c>
      <c r="B23" s="67"/>
      <c r="C23" s="43"/>
      <c r="D23" s="83">
        <f>D19/D7/12*1000</f>
        <v>23962.833333333332</v>
      </c>
    </row>
    <row r="24" spans="1:4" ht="30" customHeight="1">
      <c r="A24" s="77" t="s">
        <v>135</v>
      </c>
      <c r="B24" s="67"/>
      <c r="C24" s="43"/>
      <c r="D24" s="83">
        <f>D20/D8/12*1000</f>
        <v>7504.889714993804</v>
      </c>
    </row>
    <row r="25" spans="1:4" ht="15" customHeight="1">
      <c r="A25" s="77" t="s">
        <v>136</v>
      </c>
      <c r="B25" s="67"/>
      <c r="C25" s="43"/>
      <c r="D25" s="83">
        <f>D21/D9/12*1000</f>
        <v>9022.170048309179</v>
      </c>
    </row>
    <row r="30" spans="1:5" ht="15" customHeight="1">
      <c r="A30" s="26" t="s">
        <v>261</v>
      </c>
      <c r="B30" s="63" t="s">
        <v>121</v>
      </c>
      <c r="C30" s="249"/>
      <c r="D30" s="249"/>
      <c r="E30" s="29"/>
    </row>
    <row r="31" spans="1:5" ht="15">
      <c r="A31" s="30" t="s">
        <v>170</v>
      </c>
      <c r="B31" s="64" t="s">
        <v>119</v>
      </c>
      <c r="C31" s="250" t="s">
        <v>122</v>
      </c>
      <c r="D31" s="250"/>
      <c r="E31" s="32"/>
    </row>
  </sheetData>
  <sheetProtection/>
  <mergeCells count="3">
    <mergeCell ref="A2:D2"/>
    <mergeCell ref="C30:D30"/>
    <mergeCell ref="C31:D3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2022-06-17T08:51:27Z</cp:lastPrinted>
  <dcterms:created xsi:type="dcterms:W3CDTF">1996-10-08T23:32:33Z</dcterms:created>
  <dcterms:modified xsi:type="dcterms:W3CDTF">2022-06-17T08:51:30Z</dcterms:modified>
  <cp:category/>
  <cp:version/>
  <cp:contentType/>
  <cp:contentStatus/>
</cp:coreProperties>
</file>